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1 materials (in progress)/ASET/Sept 20/Paper 2/"/>
    </mc:Choice>
  </mc:AlternateContent>
  <xr:revisionPtr revIDLastSave="0" documentId="8_{E0ACDFC3-11C2-47ED-B985-98F85519D7C1}" xr6:coauthVersionLast="36" xr6:coauthVersionMax="36" xr10:uidLastSave="{00000000-0000-0000-0000-000000000000}"/>
  <bookViews>
    <workbookView xWindow="0" yWindow="0" windowWidth="19200" windowHeight="5895" xr2:uid="{00000000-000D-0000-FFFF-FFFF00000000}"/>
  </bookViews>
  <sheets>
    <sheet name="Data" sheetId="1" r:id="rId1"/>
    <sheet name="Parameters" sheetId="3" r:id="rId2"/>
    <sheet name="Cashflows" sheetId="4" r:id="rId3"/>
    <sheet name="Cashflows with reserve" sheetId="6" r:id="rId4"/>
  </sheets>
  <definedNames>
    <definedName name="_xlnm._FilterDatabase" localSheetId="0" hidden="1">Data!$A$1:$L$83</definedName>
    <definedName name="Claim_expenses">Parameters!$C$10</definedName>
    <definedName name="Claims_data">Data!$A$2:$L$83</definedName>
    <definedName name="Cost_policy">Parameters!$C$4</definedName>
    <definedName name="Excess_policy">Parameters!$C$5</definedName>
    <definedName name="Init_expenses">Parameters!$C$8</definedName>
    <definedName name="Interest_rate">Parameters!$C$20</definedName>
    <definedName name="Lambda">Parameters!$C$14</definedName>
    <definedName name="Mon_expenses">Parameters!$C$9</definedName>
    <definedName name="No_policies_written">Parameters!$C$3</definedName>
    <definedName name="Payment_Freq">Parameters!$C$6</definedName>
    <definedName name="Reserve_perc">Parameters!$C$25</definedName>
    <definedName name="Tolerance">Parameters!$C$16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4" i="1" l="1"/>
  <c r="T35" i="1"/>
  <c r="S35" i="1"/>
  <c r="U4" i="1"/>
  <c r="U5" i="1"/>
  <c r="V5" i="1"/>
  <c r="W5" i="1"/>
  <c r="S26" i="1"/>
  <c r="U6" i="1"/>
  <c r="V6" i="1"/>
  <c r="R27" i="1"/>
  <c r="U7" i="1"/>
  <c r="V7" i="1"/>
  <c r="R28" i="1"/>
  <c r="U8" i="1"/>
  <c r="V8" i="1"/>
  <c r="R29" i="1"/>
  <c r="U9" i="1"/>
  <c r="V9" i="1"/>
  <c r="R30" i="1"/>
  <c r="U10" i="1"/>
  <c r="V10" i="1"/>
  <c r="R31" i="1"/>
  <c r="U11" i="1"/>
  <c r="V11" i="1"/>
  <c r="R32" i="1"/>
  <c r="U12" i="1"/>
  <c r="V12" i="1"/>
  <c r="R33" i="1"/>
  <c r="U13" i="1"/>
  <c r="V13" i="1"/>
  <c r="R34" i="1"/>
  <c r="R26" i="1"/>
  <c r="O26" i="1"/>
  <c r="P26" i="1"/>
  <c r="O27" i="1"/>
  <c r="Q26" i="1"/>
  <c r="G2" i="6"/>
  <c r="P27" i="1"/>
  <c r="O28" i="1"/>
  <c r="Q27" i="1"/>
  <c r="Q5" i="1"/>
  <c r="Q4" i="1"/>
  <c r="Q3" i="1"/>
  <c r="R3" i="1"/>
  <c r="P28" i="1"/>
  <c r="O29" i="1"/>
  <c r="G3" i="6"/>
  <c r="G4" i="6"/>
  <c r="B18" i="6"/>
  <c r="C18" i="6"/>
  <c r="D18" i="6"/>
  <c r="E18" i="6"/>
  <c r="F18" i="6"/>
  <c r="G18" i="6"/>
  <c r="H18" i="6"/>
  <c r="I18" i="6"/>
  <c r="J18" i="6"/>
  <c r="K18" i="6"/>
  <c r="L18" i="6"/>
  <c r="M18" i="6"/>
  <c r="G1" i="6"/>
  <c r="B14" i="6"/>
  <c r="B19" i="6"/>
  <c r="B11" i="6"/>
  <c r="B16" i="6"/>
  <c r="C14" i="6"/>
  <c r="C19" i="6"/>
  <c r="C11" i="6"/>
  <c r="C16" i="6"/>
  <c r="D14" i="6"/>
  <c r="D19" i="6"/>
  <c r="D11" i="6"/>
  <c r="D16" i="6"/>
  <c r="E14" i="6"/>
  <c r="E19" i="6"/>
  <c r="E11" i="6"/>
  <c r="E16" i="6"/>
  <c r="F14" i="6"/>
  <c r="F19" i="6"/>
  <c r="F11" i="6"/>
  <c r="F16" i="6"/>
  <c r="G14" i="6"/>
  <c r="G19" i="6"/>
  <c r="G11" i="6"/>
  <c r="G16" i="6"/>
  <c r="H14" i="6"/>
  <c r="H19" i="6"/>
  <c r="H11" i="6"/>
  <c r="H16" i="6"/>
  <c r="I14" i="6"/>
  <c r="I19" i="6"/>
  <c r="I11" i="6"/>
  <c r="I16" i="6"/>
  <c r="J14" i="6"/>
  <c r="J19" i="6"/>
  <c r="J11" i="6"/>
  <c r="J16" i="6"/>
  <c r="K14" i="6"/>
  <c r="K19" i="6"/>
  <c r="K11" i="6"/>
  <c r="K16" i="6"/>
  <c r="L14" i="6"/>
  <c r="L19" i="6"/>
  <c r="L11" i="6"/>
  <c r="L16" i="6"/>
  <c r="M14" i="6"/>
  <c r="M19" i="6"/>
  <c r="M11" i="6"/>
  <c r="M16" i="6"/>
  <c r="B3" i="4"/>
  <c r="B5" i="4"/>
  <c r="B7" i="4"/>
  <c r="B9" i="4"/>
  <c r="B10" i="4"/>
  <c r="C3" i="4"/>
  <c r="C5" i="4"/>
  <c r="C7" i="4"/>
  <c r="C9" i="4"/>
  <c r="C10" i="4"/>
  <c r="D3" i="4"/>
  <c r="D5" i="4"/>
  <c r="D7" i="4"/>
  <c r="D9" i="4"/>
  <c r="D10" i="4"/>
  <c r="E3" i="4"/>
  <c r="E5" i="4"/>
  <c r="E7" i="4"/>
  <c r="E9" i="4"/>
  <c r="E10" i="4"/>
  <c r="F3" i="4"/>
  <c r="F5" i="4"/>
  <c r="F7" i="4"/>
  <c r="F9" i="4"/>
  <c r="F10" i="4"/>
  <c r="G3" i="4"/>
  <c r="G5" i="4"/>
  <c r="G7" i="4"/>
  <c r="G9" i="4"/>
  <c r="G10" i="4"/>
  <c r="H3" i="4"/>
  <c r="H5" i="4"/>
  <c r="H7" i="4"/>
  <c r="H9" i="4"/>
  <c r="H10" i="4"/>
  <c r="I3" i="4"/>
  <c r="I5" i="4"/>
  <c r="I7" i="4"/>
  <c r="I9" i="4"/>
  <c r="I10" i="4"/>
  <c r="J3" i="4"/>
  <c r="J5" i="4"/>
  <c r="J7" i="4"/>
  <c r="J9" i="4"/>
  <c r="J10" i="4"/>
  <c r="K3" i="4"/>
  <c r="K5" i="4"/>
  <c r="K7" i="4"/>
  <c r="K9" i="4"/>
  <c r="K10" i="4"/>
  <c r="L3" i="4"/>
  <c r="L5" i="4"/>
  <c r="L7" i="4"/>
  <c r="L9" i="4"/>
  <c r="L10" i="4"/>
  <c r="M3" i="4"/>
  <c r="M5" i="4"/>
  <c r="M7" i="4"/>
  <c r="M9" i="4"/>
  <c r="M10" i="4"/>
  <c r="Q14" i="1"/>
  <c r="Q9" i="1"/>
  <c r="Q10" i="1"/>
  <c r="I5" i="6"/>
  <c r="G5" i="6"/>
  <c r="G7" i="6"/>
  <c r="B13" i="6"/>
  <c r="B25" i="6"/>
  <c r="C25" i="6"/>
  <c r="D25" i="6"/>
  <c r="E25" i="6"/>
  <c r="F25" i="6"/>
  <c r="G25" i="6"/>
  <c r="H25" i="6"/>
  <c r="I25" i="6"/>
  <c r="J25" i="6"/>
  <c r="K25" i="6"/>
  <c r="L25" i="6"/>
  <c r="Q28" i="1"/>
  <c r="P29" i="1"/>
  <c r="O30" i="1"/>
  <c r="B14" i="4"/>
  <c r="C14" i="4"/>
  <c r="D14" i="4"/>
  <c r="E14" i="4"/>
  <c r="F14" i="4"/>
  <c r="G14" i="4"/>
  <c r="H14" i="4"/>
  <c r="I14" i="4"/>
  <c r="J14" i="4"/>
  <c r="K14" i="4"/>
  <c r="L14" i="4"/>
  <c r="M14" i="4"/>
  <c r="L23" i="6"/>
  <c r="K23" i="6"/>
  <c r="J23" i="6"/>
  <c r="I23" i="6"/>
  <c r="H23" i="6"/>
  <c r="G23" i="6"/>
  <c r="F23" i="6"/>
  <c r="E23" i="6"/>
  <c r="D23" i="6"/>
  <c r="C23" i="6"/>
  <c r="J12" i="4"/>
  <c r="F12" i="4"/>
  <c r="B12" i="4"/>
  <c r="K12" i="4"/>
  <c r="G12" i="4"/>
  <c r="C12" i="4"/>
  <c r="L12" i="4"/>
  <c r="H12" i="4"/>
  <c r="D12" i="4"/>
  <c r="M12" i="4"/>
  <c r="I12" i="4"/>
  <c r="E12" i="4"/>
  <c r="T5" i="1"/>
  <c r="Q29" i="1"/>
  <c r="P30" i="1"/>
  <c r="O31" i="1"/>
  <c r="B23" i="6"/>
  <c r="K5" i="6"/>
  <c r="M21" i="6"/>
  <c r="M25" i="6"/>
  <c r="T6" i="1"/>
  <c r="Q30" i="1"/>
  <c r="P31" i="1"/>
  <c r="O32" i="1"/>
  <c r="Q31" i="1"/>
  <c r="M23" i="6"/>
  <c r="T7" i="1"/>
  <c r="W6" i="1"/>
  <c r="S27" i="1"/>
  <c r="P32" i="1"/>
  <c r="O33" i="1"/>
  <c r="T8" i="1"/>
  <c r="W7" i="1"/>
  <c r="S28" i="1"/>
  <c r="Q32" i="1"/>
  <c r="P33" i="1"/>
  <c r="O34" i="1"/>
  <c r="T9" i="1"/>
  <c r="Q33" i="1"/>
  <c r="W8" i="1"/>
  <c r="S29" i="1"/>
  <c r="P34" i="1"/>
  <c r="Q34" i="1"/>
  <c r="T10" i="1"/>
  <c r="W9" i="1"/>
  <c r="S30" i="1"/>
  <c r="T11" i="1"/>
  <c r="W10" i="1"/>
  <c r="S31" i="1"/>
  <c r="T12" i="1"/>
  <c r="W11" i="1"/>
  <c r="S32" i="1"/>
  <c r="T13" i="1"/>
  <c r="X12" i="1"/>
  <c r="X13" i="1"/>
  <c r="Y14" i="1"/>
  <c r="W12" i="1"/>
  <c r="S33" i="1"/>
  <c r="W13" i="1"/>
  <c r="S34" i="1"/>
  <c r="X4" i="1"/>
  <c r="Y4" i="1"/>
  <c r="Z4" i="1"/>
  <c r="X5" i="1"/>
  <c r="X6" i="1"/>
  <c r="X7" i="1"/>
  <c r="X8" i="1"/>
  <c r="X9" i="1"/>
  <c r="X10" i="1"/>
  <c r="X11" i="1"/>
  <c r="Y13" i="1"/>
  <c r="Z13" i="1"/>
  <c r="Y6" i="1"/>
  <c r="Z6" i="1"/>
  <c r="Y10" i="1"/>
  <c r="Z10" i="1"/>
  <c r="Y11" i="1"/>
  <c r="Z11" i="1"/>
  <c r="Y7" i="1"/>
  <c r="Z7" i="1"/>
  <c r="Y9" i="1"/>
  <c r="Z9" i="1"/>
  <c r="Y5" i="1"/>
  <c r="Z5" i="1"/>
  <c r="Y12" i="1"/>
  <c r="Z12" i="1"/>
  <c r="Y8" i="1"/>
  <c r="Z8" i="1"/>
  <c r="Z14" i="1"/>
  <c r="Z20" i="1"/>
</calcChain>
</file>

<file path=xl/sharedStrings.xml><?xml version="1.0" encoding="utf-8"?>
<sst xmlns="http://schemas.openxmlformats.org/spreadsheetml/2006/main" count="120" uniqueCount="82">
  <si>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</si>
  <si>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</si>
  <si>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</si>
  <si>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</si>
  <si>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</si>
  <si>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</si>
  <si>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</si>
  <si>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</si>
  <si>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</si>
  <si>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</si>
  <si>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</si>
  <si>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</si>
  <si>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Range</t>
  </si>
  <si>
    <t>Minimum</t>
  </si>
  <si>
    <t>Interval</t>
  </si>
  <si>
    <t>Cumulative</t>
  </si>
  <si>
    <t>Frequency</t>
  </si>
  <si>
    <t>Graph Label</t>
  </si>
  <si>
    <t>Statistics</t>
  </si>
  <si>
    <t>Chi squared test</t>
  </si>
  <si>
    <t>Less than</t>
  </si>
  <si>
    <t>unknown</t>
  </si>
  <si>
    <t>Observed</t>
  </si>
  <si>
    <t>Expected</t>
  </si>
  <si>
    <t>Total</t>
  </si>
  <si>
    <t>(O-E)^2/E</t>
  </si>
  <si>
    <t>Degrees of freedom</t>
  </si>
  <si>
    <t>Test Statistic (95% confidence)</t>
  </si>
  <si>
    <t>Lambda</t>
  </si>
  <si>
    <t>Average (observed claims)</t>
  </si>
  <si>
    <t>Standard Deviation (observed claims)</t>
  </si>
  <si>
    <t>Policy information</t>
  </si>
  <si>
    <t>Number of policies written</t>
  </si>
  <si>
    <t>Exponential with parameter</t>
  </si>
  <si>
    <t>No_policies_written</t>
  </si>
  <si>
    <t>Cost_policy</t>
  </si>
  <si>
    <t>Excess_policy</t>
  </si>
  <si>
    <t>Month</t>
  </si>
  <si>
    <t>Income</t>
  </si>
  <si>
    <t>Payment frequency</t>
  </si>
  <si>
    <t>Payment_Freq</t>
  </si>
  <si>
    <t>Net claims</t>
  </si>
  <si>
    <t>Monthly expenses</t>
  </si>
  <si>
    <t>Initial expenses</t>
  </si>
  <si>
    <t>Claim expenses</t>
  </si>
  <si>
    <t>Init_expenses</t>
  </si>
  <si>
    <t>Mon_expenses</t>
  </si>
  <si>
    <t>Claim_expenses</t>
  </si>
  <si>
    <t>Net cashflows</t>
  </si>
  <si>
    <t>Initial expenses (per policy)</t>
  </si>
  <si>
    <t>Monthly expenses (per policy)</t>
  </si>
  <si>
    <t>Claim expenses (per claim)</t>
  </si>
  <si>
    <t>Financial information</t>
  </si>
  <si>
    <t>Claim amount distribution</t>
  </si>
  <si>
    <t>Required Reserve</t>
  </si>
  <si>
    <t>Expected annual number of claims</t>
  </si>
  <si>
    <t>Expected claim with excess deducted</t>
  </si>
  <si>
    <t>Reserve requirements</t>
  </si>
  <si>
    <t>Reserve as percentage of expected claims</t>
  </si>
  <si>
    <t>Reserve required</t>
  </si>
  <si>
    <t>Reserve_perc</t>
  </si>
  <si>
    <t>Accumulated fund at month end</t>
  </si>
  <si>
    <t>Expected claim (full distribution)</t>
  </si>
  <si>
    <t>Expected claim reported</t>
  </si>
  <si>
    <t>Compare to experience</t>
  </si>
  <si>
    <t>Check</t>
  </si>
  <si>
    <t>Tolerance level</t>
  </si>
  <si>
    <t>Tolerance</t>
  </si>
  <si>
    <t>Reserve created</t>
  </si>
  <si>
    <t>Reserve released</t>
  </si>
  <si>
    <t>Policy excess</t>
  </si>
  <si>
    <t>Checks</t>
  </si>
  <si>
    <t>Maximum</t>
  </si>
  <si>
    <t>Count of claims</t>
  </si>
  <si>
    <t>Exponential distribution</t>
  </si>
  <si>
    <t>Result of Chi-squared test</t>
  </si>
  <si>
    <t>Interest rate</t>
  </si>
  <si>
    <t>Interest_rate</t>
  </si>
  <si>
    <t>Data analysis</t>
  </si>
  <si>
    <t>Accumulated profit at month end</t>
  </si>
  <si>
    <t>Total expected claims plus claim expense</t>
  </si>
  <si>
    <t>Policy premium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</si>
</sst>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  <numFmt numFmtId="167" formatCode="_-[$$-409]* #,##0.00_ ;_-[$$-409]* \-#,##0.00\ ;_-[$$-409]* &quot;-&quot;??_ ;_-@_ "/>
    <numFmt numFmtId="168" formatCode="_-[$$-409]* #,##0_ ;_-[$$-409]* \-#,##0\ ;_-[$$-409]* &quot;-&quot;??_ ;_-@_ "/>
    <numFmt numFmtId="169" formatCode="#,##0;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right"/>
    </xf>
    <xf numFmtId="1" fontId="0" fillId="0" borderId="0" xfId="0" applyNumberFormat="1"/>
    <xf numFmtId="43" fontId="0" fillId="0" borderId="0" xfId="1" applyFont="1"/>
    <xf numFmtId="166" fontId="0" fillId="0" borderId="0" xfId="1" applyNumberFormat="1" applyFont="1"/>
    <xf numFmtId="167" fontId="0" fillId="0" borderId="0" xfId="0" applyNumberFormat="1" applyAlignment="1">
      <alignment horizontal="right"/>
    </xf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9" fontId="0" fillId="0" borderId="0" xfId="0" applyNumberFormat="1"/>
    <xf numFmtId="168" fontId="0" fillId="0" borderId="0" xfId="0" applyNumberFormat="1"/>
    <xf numFmtId="169" fontId="0" fillId="0" borderId="0" xfId="0" applyNumberFormat="1"/>
    <xf numFmtId="166" fontId="0" fillId="0" borderId="0" xfId="0" applyNumberFormat="1"/>
    <xf numFmtId="169" fontId="0" fillId="2" borderId="0" xfId="0" applyNumberFormat="1" applyFill="1"/>
    <xf numFmtId="43" fontId="0" fillId="0" borderId="0" xfId="0" applyNumberFormat="1"/>
    <xf numFmtId="9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83"/>
  <sheetViews>
    <sheetView tabSelected="1" topLeftCell="B1" zoomScale="70" zoomScaleNormal="70" workbookViewId="0">
      <selection activeCell="W4" sqref="W4"/>
    </sheetView>
  </sheetViews>
  <sheetFormatPr defaultColWidth="12.28515625" defaultRowHeight="15" x14ac:dyDescent="0.25"/>
  <cols>
    <col min="15" max="15" width="16.7109375" customWidth="1"/>
    <col min="16" max="16" width="20.7109375" customWidth="1"/>
    <col min="17" max="17" width="14.7109375" customWidth="1"/>
    <col min="18" max="19" width="21.28515625" customWidth="1"/>
    <col min="20" max="20" width="25.285156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O1" s="3" t="s">
        <v>71</v>
      </c>
      <c r="Q1" s="6"/>
      <c r="U1" s="3" t="s">
        <v>19</v>
      </c>
    </row>
    <row r="2" spans="1:26" x14ac:dyDescent="0.25">
      <c r="A2">
        <v>74</v>
      </c>
      <c r="B2">
        <v>193</v>
      </c>
      <c r="C2">
        <v>110</v>
      </c>
      <c r="D2">
        <v>313</v>
      </c>
      <c r="E2">
        <v>63</v>
      </c>
      <c r="F2">
        <v>108</v>
      </c>
      <c r="G2">
        <v>133</v>
      </c>
      <c r="H2">
        <v>90</v>
      </c>
      <c r="I2">
        <v>76</v>
      </c>
      <c r="J2">
        <v>154</v>
      </c>
      <c r="K2">
        <v>221</v>
      </c>
      <c r="L2">
        <v>129</v>
      </c>
      <c r="V2" s="26" t="s">
        <v>22</v>
      </c>
      <c r="W2" s="26"/>
      <c r="X2" s="26" t="s">
        <v>23</v>
      </c>
      <c r="Y2" s="26"/>
    </row>
    <row r="3" spans="1:26" x14ac:dyDescent="0.25">
      <c r="A3">
        <v>91</v>
      </c>
      <c r="B3">
        <v>404</v>
      </c>
      <c r="C3">
        <v>229</v>
      </c>
      <c r="D3">
        <v>79</v>
      </c>
      <c r="E3">
        <v>188</v>
      </c>
      <c r="F3">
        <v>74</v>
      </c>
      <c r="G3">
        <v>157</v>
      </c>
      <c r="H3">
        <v>268</v>
      </c>
      <c r="I3">
        <v>97</v>
      </c>
      <c r="J3">
        <v>90</v>
      </c>
      <c r="K3">
        <v>284</v>
      </c>
      <c r="L3">
        <v>128</v>
      </c>
      <c r="O3" t="s">
        <v>13</v>
      </c>
      <c r="Q3">
        <f>MIN(Claims_data)</f>
        <v>52</v>
      </c>
      <c r="R3" s="25" t="str">
        <f>IF(Excess_policy&lt;Data!Q3,"OK - MINIMUM CLAIM ABOVE EXCESS","CHECK - MINIMUM IS LESS THAN EXCESS")</f>
        <v>OK - MINIMUM CLAIM ABOVE EXCESS</v>
      </c>
      <c r="S3" s="6"/>
      <c r="U3" s="1" t="s">
        <v>20</v>
      </c>
      <c r="V3" s="1" t="s">
        <v>15</v>
      </c>
      <c r="W3" s="1" t="s">
        <v>16</v>
      </c>
      <c r="X3" s="1" t="s">
        <v>15</v>
      </c>
      <c r="Y3" s="1" t="s">
        <v>16</v>
      </c>
      <c r="Z3" s="1" t="s">
        <v>25</v>
      </c>
    </row>
    <row r="4" spans="1:26" x14ac:dyDescent="0.25">
      <c r="A4">
        <v>129</v>
      </c>
      <c r="B4">
        <v>128</v>
      </c>
      <c r="C4">
        <v>71</v>
      </c>
      <c r="D4">
        <v>60</v>
      </c>
      <c r="E4">
        <v>56</v>
      </c>
      <c r="F4">
        <v>62</v>
      </c>
      <c r="G4">
        <v>254</v>
      </c>
      <c r="H4">
        <v>145</v>
      </c>
      <c r="I4">
        <v>145</v>
      </c>
      <c r="J4">
        <v>163</v>
      </c>
      <c r="K4">
        <v>238</v>
      </c>
      <c r="L4">
        <v>271</v>
      </c>
      <c r="O4" t="s">
        <v>72</v>
      </c>
      <c r="Q4">
        <f>MAX(Claims_data)</f>
        <v>494</v>
      </c>
      <c r="R4" s="6"/>
      <c r="S4" s="6"/>
      <c r="T4">
        <v>0</v>
      </c>
      <c r="U4">
        <f>P20</f>
        <v>50</v>
      </c>
      <c r="V4" s="1" t="s">
        <v>21</v>
      </c>
      <c r="W4" s="7">
        <v>541</v>
      </c>
      <c r="X4" s="8">
        <f t="shared" ref="X4:X13" si="0">(1-EXP(-$Q$14*U4))*$W$14</f>
        <v>541.41381223541646</v>
      </c>
      <c r="Y4" s="8">
        <f>X4</f>
        <v>541.41381223541646</v>
      </c>
      <c r="Z4" s="5">
        <f t="shared" ref="Z4:Z12" si="1">((W4-Y4)^2)/Y4</f>
        <v>3.1628407386457207E-4</v>
      </c>
    </row>
    <row r="5" spans="1:26" x14ac:dyDescent="0.25">
      <c r="A5">
        <v>209</v>
      </c>
      <c r="B5">
        <v>166</v>
      </c>
      <c r="C5">
        <v>77</v>
      </c>
      <c r="D5">
        <v>335</v>
      </c>
      <c r="E5">
        <v>101</v>
      </c>
      <c r="F5">
        <v>65</v>
      </c>
      <c r="G5">
        <v>392</v>
      </c>
      <c r="H5">
        <v>53</v>
      </c>
      <c r="I5">
        <v>80</v>
      </c>
      <c r="J5">
        <v>54</v>
      </c>
      <c r="K5">
        <v>102</v>
      </c>
      <c r="L5">
        <v>89</v>
      </c>
      <c r="O5" t="s">
        <v>73</v>
      </c>
      <c r="Q5">
        <f>COUNT(Claims_data)</f>
        <v>835</v>
      </c>
      <c r="T5">
        <f>U4</f>
        <v>50</v>
      </c>
      <c r="U5">
        <f t="shared" ref="U5:U13" si="2">U4+$P$21</f>
        <v>100</v>
      </c>
      <c r="V5">
        <f t="shared" ref="V5:V13" si="3">COUNTIF(Claims_data,"&lt;"&amp;U5)</f>
        <v>326</v>
      </c>
      <c r="W5" s="13">
        <f>V5</f>
        <v>326</v>
      </c>
      <c r="X5" s="8">
        <f t="shared" si="0"/>
        <v>869.79788894809531</v>
      </c>
      <c r="Y5" s="8">
        <f>X5-X4</f>
        <v>328.38407671267885</v>
      </c>
      <c r="Z5" s="5">
        <f t="shared" si="1"/>
        <v>1.7308457306566261E-2</v>
      </c>
    </row>
    <row r="6" spans="1:26" x14ac:dyDescent="0.25">
      <c r="A6">
        <v>60</v>
      </c>
      <c r="B6">
        <v>79</v>
      </c>
      <c r="C6">
        <v>90</v>
      </c>
      <c r="D6">
        <v>73</v>
      </c>
      <c r="E6">
        <v>65</v>
      </c>
      <c r="F6">
        <v>170</v>
      </c>
      <c r="G6">
        <v>53</v>
      </c>
      <c r="H6">
        <v>142</v>
      </c>
      <c r="I6">
        <v>116</v>
      </c>
      <c r="J6">
        <v>129</v>
      </c>
      <c r="K6">
        <v>169</v>
      </c>
      <c r="L6">
        <v>118</v>
      </c>
      <c r="R6" s="6"/>
      <c r="S6" s="6"/>
      <c r="T6">
        <f t="shared" ref="T6:T12" si="4">U5</f>
        <v>100</v>
      </c>
      <c r="U6">
        <f t="shared" si="2"/>
        <v>150</v>
      </c>
      <c r="V6">
        <f t="shared" si="3"/>
        <v>525</v>
      </c>
      <c r="W6">
        <f>V6-V5</f>
        <v>199</v>
      </c>
      <c r="X6" s="8">
        <f t="shared" si="0"/>
        <v>1068.9728996357605</v>
      </c>
      <c r="Y6" s="8">
        <f t="shared" ref="Y6:Y12" si="5">X6-X5</f>
        <v>199.17501068766524</v>
      </c>
      <c r="Z6" s="5">
        <f t="shared" si="1"/>
        <v>1.5377803014198789E-4</v>
      </c>
    </row>
    <row r="7" spans="1:26" x14ac:dyDescent="0.25">
      <c r="A7">
        <v>200</v>
      </c>
      <c r="B7">
        <v>53</v>
      </c>
      <c r="C7">
        <v>192</v>
      </c>
      <c r="D7">
        <v>74</v>
      </c>
      <c r="E7">
        <v>61</v>
      </c>
      <c r="F7">
        <v>59</v>
      </c>
      <c r="G7">
        <v>282</v>
      </c>
      <c r="H7">
        <v>54</v>
      </c>
      <c r="I7">
        <v>195</v>
      </c>
      <c r="J7">
        <v>72</v>
      </c>
      <c r="K7">
        <v>270</v>
      </c>
      <c r="L7">
        <v>76</v>
      </c>
      <c r="O7" s="3" t="s">
        <v>18</v>
      </c>
      <c r="T7">
        <f t="shared" si="4"/>
        <v>150</v>
      </c>
      <c r="U7">
        <f t="shared" si="2"/>
        <v>200</v>
      </c>
      <c r="V7">
        <f t="shared" si="3"/>
        <v>649</v>
      </c>
      <c r="W7">
        <f t="shared" ref="W7:W13" si="6">V7-V6</f>
        <v>124</v>
      </c>
      <c r="X7" s="8">
        <f t="shared" si="0"/>
        <v>1189.778650266421</v>
      </c>
      <c r="Y7" s="8">
        <f t="shared" si="5"/>
        <v>120.80575063066044</v>
      </c>
      <c r="Z7" s="5">
        <f t="shared" si="1"/>
        <v>8.4459795831412984E-2</v>
      </c>
    </row>
    <row r="8" spans="1:26" x14ac:dyDescent="0.25">
      <c r="A8">
        <v>154</v>
      </c>
      <c r="B8">
        <v>248</v>
      </c>
      <c r="C8">
        <v>76</v>
      </c>
      <c r="D8">
        <v>68</v>
      </c>
      <c r="E8">
        <v>159</v>
      </c>
      <c r="F8">
        <v>259</v>
      </c>
      <c r="G8">
        <v>77</v>
      </c>
      <c r="H8">
        <v>60</v>
      </c>
      <c r="I8">
        <v>138</v>
      </c>
      <c r="J8">
        <v>221</v>
      </c>
      <c r="K8">
        <v>329</v>
      </c>
      <c r="L8">
        <v>114</v>
      </c>
      <c r="T8">
        <f t="shared" si="4"/>
        <v>200</v>
      </c>
      <c r="U8">
        <f t="shared" si="2"/>
        <v>250</v>
      </c>
      <c r="V8">
        <f t="shared" si="3"/>
        <v>725</v>
      </c>
      <c r="W8">
        <f t="shared" si="6"/>
        <v>76</v>
      </c>
      <c r="X8" s="8">
        <f t="shared" si="0"/>
        <v>1263.0510418935153</v>
      </c>
      <c r="Y8" s="8">
        <f t="shared" si="5"/>
        <v>73.272391627094294</v>
      </c>
      <c r="Z8" s="5">
        <f t="shared" si="1"/>
        <v>0.1015368445158578</v>
      </c>
    </row>
    <row r="9" spans="1:26" x14ac:dyDescent="0.25">
      <c r="A9">
        <v>208</v>
      </c>
      <c r="B9">
        <v>234</v>
      </c>
      <c r="C9">
        <v>65</v>
      </c>
      <c r="D9">
        <v>116</v>
      </c>
      <c r="E9">
        <v>104</v>
      </c>
      <c r="F9">
        <v>116</v>
      </c>
      <c r="G9">
        <v>88</v>
      </c>
      <c r="H9">
        <v>101</v>
      </c>
      <c r="I9">
        <v>61</v>
      </c>
      <c r="J9">
        <v>140</v>
      </c>
      <c r="K9">
        <v>69</v>
      </c>
      <c r="L9">
        <v>122</v>
      </c>
      <c r="O9" t="s">
        <v>29</v>
      </c>
      <c r="Q9" s="6">
        <f>AVERAGE(Claims_data)</f>
        <v>145.96047904191616</v>
      </c>
      <c r="T9">
        <f t="shared" si="4"/>
        <v>250</v>
      </c>
      <c r="U9">
        <f t="shared" si="2"/>
        <v>300</v>
      </c>
      <c r="V9">
        <f t="shared" si="3"/>
        <v>774</v>
      </c>
      <c r="W9">
        <f t="shared" si="6"/>
        <v>49</v>
      </c>
      <c r="X9" s="8">
        <f t="shared" si="0"/>
        <v>1307.4929939258193</v>
      </c>
      <c r="Y9" s="8">
        <f t="shared" si="5"/>
        <v>44.441952032304016</v>
      </c>
      <c r="Z9" s="5">
        <f t="shared" si="1"/>
        <v>0.46748174474235404</v>
      </c>
    </row>
    <row r="10" spans="1:26" x14ac:dyDescent="0.25">
      <c r="A10">
        <v>60</v>
      </c>
      <c r="B10">
        <v>202</v>
      </c>
      <c r="C10">
        <v>185</v>
      </c>
      <c r="D10">
        <v>56</v>
      </c>
      <c r="E10">
        <v>127</v>
      </c>
      <c r="F10">
        <v>108</v>
      </c>
      <c r="G10">
        <v>95</v>
      </c>
      <c r="H10">
        <v>54</v>
      </c>
      <c r="I10">
        <v>80</v>
      </c>
      <c r="J10">
        <v>146</v>
      </c>
      <c r="K10">
        <v>65</v>
      </c>
      <c r="L10">
        <v>119</v>
      </c>
      <c r="O10" t="s">
        <v>30</v>
      </c>
      <c r="Q10" s="6">
        <f>STDEV(Claims_data)</f>
        <v>87.113047751179394</v>
      </c>
      <c r="R10" s="5"/>
      <c r="S10" s="5"/>
      <c r="T10">
        <f t="shared" si="4"/>
        <v>300</v>
      </c>
      <c r="U10">
        <f t="shared" si="2"/>
        <v>350</v>
      </c>
      <c r="V10">
        <f t="shared" si="3"/>
        <v>803</v>
      </c>
      <c r="W10">
        <f t="shared" si="6"/>
        <v>29</v>
      </c>
      <c r="X10" s="8">
        <f t="shared" si="0"/>
        <v>1334.4484004108897</v>
      </c>
      <c r="Y10" s="8">
        <f t="shared" si="5"/>
        <v>26.955406485070398</v>
      </c>
      <c r="Z10" s="5">
        <f t="shared" si="1"/>
        <v>0.15508438515321712</v>
      </c>
    </row>
    <row r="11" spans="1:26" x14ac:dyDescent="0.25">
      <c r="A11">
        <v>221</v>
      </c>
      <c r="B11">
        <v>182</v>
      </c>
      <c r="C11">
        <v>151</v>
      </c>
      <c r="D11">
        <v>178</v>
      </c>
      <c r="E11">
        <v>245</v>
      </c>
      <c r="F11">
        <v>317</v>
      </c>
      <c r="G11">
        <v>74</v>
      </c>
      <c r="H11">
        <v>63</v>
      </c>
      <c r="I11">
        <v>82</v>
      </c>
      <c r="J11">
        <v>139</v>
      </c>
      <c r="K11">
        <v>81</v>
      </c>
      <c r="L11">
        <v>125</v>
      </c>
      <c r="T11">
        <f t="shared" si="4"/>
        <v>350</v>
      </c>
      <c r="U11">
        <f t="shared" si="2"/>
        <v>400</v>
      </c>
      <c r="V11">
        <f t="shared" si="3"/>
        <v>819</v>
      </c>
      <c r="W11">
        <f t="shared" si="6"/>
        <v>16</v>
      </c>
      <c r="X11" s="8">
        <f t="shared" si="0"/>
        <v>1350.7976808891017</v>
      </c>
      <c r="Y11" s="8">
        <f t="shared" si="5"/>
        <v>16.349280478211995</v>
      </c>
      <c r="Z11" s="5">
        <f t="shared" si="1"/>
        <v>7.4619095698174502E-3</v>
      </c>
    </row>
    <row r="12" spans="1:26" x14ac:dyDescent="0.25">
      <c r="A12">
        <v>106</v>
      </c>
      <c r="B12">
        <v>162</v>
      </c>
      <c r="C12">
        <v>58</v>
      </c>
      <c r="D12">
        <v>145</v>
      </c>
      <c r="E12">
        <v>137</v>
      </c>
      <c r="F12">
        <v>163</v>
      </c>
      <c r="G12">
        <v>186</v>
      </c>
      <c r="H12">
        <v>78</v>
      </c>
      <c r="I12">
        <v>61</v>
      </c>
      <c r="J12">
        <v>115</v>
      </c>
      <c r="K12">
        <v>79</v>
      </c>
      <c r="L12">
        <v>421</v>
      </c>
      <c r="O12" s="3" t="s">
        <v>74</v>
      </c>
      <c r="T12">
        <f t="shared" si="4"/>
        <v>400</v>
      </c>
      <c r="U12">
        <f t="shared" si="2"/>
        <v>450</v>
      </c>
      <c r="V12">
        <f t="shared" si="3"/>
        <v>831</v>
      </c>
      <c r="W12" s="23">
        <f t="shared" si="6"/>
        <v>12</v>
      </c>
      <c r="X12" s="8">
        <f t="shared" si="0"/>
        <v>1360.7140207633786</v>
      </c>
      <c r="Y12" s="8">
        <f t="shared" si="5"/>
        <v>9.9163398742769004</v>
      </c>
      <c r="Z12" s="5">
        <f t="shared" si="1"/>
        <v>0.43782681660505263</v>
      </c>
    </row>
    <row r="13" spans="1:26" x14ac:dyDescent="0.25">
      <c r="A13">
        <v>98</v>
      </c>
      <c r="B13">
        <v>121</v>
      </c>
      <c r="C13">
        <v>183</v>
      </c>
      <c r="D13">
        <v>162</v>
      </c>
      <c r="E13">
        <v>147</v>
      </c>
      <c r="F13">
        <v>158</v>
      </c>
      <c r="G13">
        <v>191</v>
      </c>
      <c r="H13">
        <v>228</v>
      </c>
      <c r="I13">
        <v>113</v>
      </c>
      <c r="J13">
        <v>249</v>
      </c>
      <c r="K13">
        <v>87</v>
      </c>
      <c r="L13">
        <v>368</v>
      </c>
      <c r="T13">
        <f>U12</f>
        <v>450</v>
      </c>
      <c r="U13">
        <f t="shared" si="2"/>
        <v>500</v>
      </c>
      <c r="V13">
        <f t="shared" si="3"/>
        <v>835</v>
      </c>
      <c r="W13" s="23">
        <f t="shared" si="6"/>
        <v>4</v>
      </c>
      <c r="X13" s="8">
        <f t="shared" si="0"/>
        <v>1366.7285849292584</v>
      </c>
      <c r="Y13" s="8">
        <f t="shared" ref="Y13" si="7">X13-X12</f>
        <v>6.0145641658798468</v>
      </c>
      <c r="Z13" s="5">
        <f t="shared" ref="Z13" si="8">((W13-Y13)^2)/Y13</f>
        <v>0.67477354410325185</v>
      </c>
    </row>
    <row r="14" spans="1:26" x14ac:dyDescent="0.25">
      <c r="A14">
        <v>112</v>
      </c>
      <c r="B14">
        <v>67</v>
      </c>
      <c r="C14">
        <v>151</v>
      </c>
      <c r="D14">
        <v>95</v>
      </c>
      <c r="E14">
        <v>203</v>
      </c>
      <c r="F14">
        <v>133</v>
      </c>
      <c r="G14">
        <v>169</v>
      </c>
      <c r="H14">
        <v>241</v>
      </c>
      <c r="I14">
        <v>264</v>
      </c>
      <c r="J14">
        <v>304</v>
      </c>
      <c r="K14">
        <v>102</v>
      </c>
      <c r="L14">
        <v>77</v>
      </c>
      <c r="O14" t="s">
        <v>28</v>
      </c>
      <c r="Q14" s="5">
        <f>Lambda</f>
        <v>0.01</v>
      </c>
      <c r="U14" s="1" t="s">
        <v>24</v>
      </c>
      <c r="W14">
        <f>SUM(W4:W13)</f>
        <v>1376</v>
      </c>
      <c r="X14" s="8"/>
      <c r="Y14" s="8">
        <f>X13</f>
        <v>1366.7285849292584</v>
      </c>
      <c r="Z14" s="4">
        <f>SUM(Z4:Z13)</f>
        <v>1.9464035599315368</v>
      </c>
    </row>
    <row r="15" spans="1:26" x14ac:dyDescent="0.25">
      <c r="A15">
        <v>78</v>
      </c>
      <c r="B15">
        <v>159</v>
      </c>
      <c r="C15">
        <v>56</v>
      </c>
      <c r="D15">
        <v>54</v>
      </c>
      <c r="E15">
        <v>359</v>
      </c>
      <c r="F15">
        <v>121</v>
      </c>
      <c r="G15">
        <v>54</v>
      </c>
      <c r="H15">
        <v>60</v>
      </c>
      <c r="I15">
        <v>132</v>
      </c>
      <c r="J15">
        <v>494</v>
      </c>
      <c r="K15">
        <v>127</v>
      </c>
      <c r="L15">
        <v>52</v>
      </c>
    </row>
    <row r="16" spans="1:26" x14ac:dyDescent="0.25">
      <c r="A16">
        <v>366</v>
      </c>
      <c r="B16">
        <v>146</v>
      </c>
      <c r="C16">
        <v>168</v>
      </c>
      <c r="D16">
        <v>90</v>
      </c>
      <c r="E16">
        <v>111</v>
      </c>
      <c r="F16">
        <v>62</v>
      </c>
      <c r="G16">
        <v>223</v>
      </c>
      <c r="H16">
        <v>115</v>
      </c>
      <c r="I16">
        <v>105</v>
      </c>
      <c r="J16">
        <v>168</v>
      </c>
      <c r="K16">
        <v>69</v>
      </c>
      <c r="L16">
        <v>135</v>
      </c>
      <c r="Y16" s="1" t="s">
        <v>26</v>
      </c>
      <c r="Z16" s="8">
        <v>9</v>
      </c>
    </row>
    <row r="17" spans="1:26" x14ac:dyDescent="0.25">
      <c r="A17">
        <v>90</v>
      </c>
      <c r="B17">
        <v>76</v>
      </c>
      <c r="C17">
        <v>147</v>
      </c>
      <c r="D17">
        <v>252</v>
      </c>
      <c r="E17">
        <v>53</v>
      </c>
      <c r="F17">
        <v>99</v>
      </c>
      <c r="G17">
        <v>73</v>
      </c>
      <c r="H17">
        <v>63</v>
      </c>
      <c r="I17">
        <v>105</v>
      </c>
      <c r="J17">
        <v>138</v>
      </c>
      <c r="K17">
        <v>189</v>
      </c>
      <c r="L17">
        <v>330</v>
      </c>
    </row>
    <row r="18" spans="1:26" x14ac:dyDescent="0.25">
      <c r="A18">
        <v>142</v>
      </c>
      <c r="B18">
        <v>99</v>
      </c>
      <c r="C18">
        <v>84</v>
      </c>
      <c r="D18">
        <v>134</v>
      </c>
      <c r="E18">
        <v>172</v>
      </c>
      <c r="F18">
        <v>182</v>
      </c>
      <c r="G18">
        <v>305</v>
      </c>
      <c r="H18">
        <v>148</v>
      </c>
      <c r="I18">
        <v>92</v>
      </c>
      <c r="J18">
        <v>312</v>
      </c>
      <c r="K18">
        <v>256</v>
      </c>
      <c r="L18">
        <v>73</v>
      </c>
      <c r="O18" s="3" t="s">
        <v>78</v>
      </c>
      <c r="Y18" s="1" t="s">
        <v>27</v>
      </c>
      <c r="Z18">
        <v>3.3250000000000002</v>
      </c>
    </row>
    <row r="19" spans="1:26" x14ac:dyDescent="0.25">
      <c r="A19">
        <v>176</v>
      </c>
      <c r="B19">
        <v>80</v>
      </c>
      <c r="C19">
        <v>380</v>
      </c>
      <c r="D19">
        <v>62</v>
      </c>
      <c r="E19">
        <v>52</v>
      </c>
      <c r="F19">
        <v>97</v>
      </c>
      <c r="G19">
        <v>69</v>
      </c>
      <c r="H19">
        <v>133</v>
      </c>
      <c r="I19">
        <v>103</v>
      </c>
      <c r="J19">
        <v>58</v>
      </c>
      <c r="K19">
        <v>82</v>
      </c>
      <c r="L19">
        <v>197</v>
      </c>
    </row>
    <row r="20" spans="1:26" x14ac:dyDescent="0.25">
      <c r="A20">
        <v>64</v>
      </c>
      <c r="B20">
        <v>141</v>
      </c>
      <c r="C20">
        <v>84</v>
      </c>
      <c r="D20">
        <v>217</v>
      </c>
      <c r="E20">
        <v>179</v>
      </c>
      <c r="F20">
        <v>297</v>
      </c>
      <c r="G20">
        <v>78</v>
      </c>
      <c r="H20">
        <v>82</v>
      </c>
      <c r="I20">
        <v>110</v>
      </c>
      <c r="J20">
        <v>60</v>
      </c>
      <c r="K20">
        <v>110</v>
      </c>
      <c r="L20">
        <v>93</v>
      </c>
      <c r="O20" t="s">
        <v>13</v>
      </c>
      <c r="P20">
        <v>50</v>
      </c>
      <c r="Y20" s="1" t="s">
        <v>75</v>
      </c>
      <c r="Z20" s="13" t="str">
        <f>IF(Z18&gt;Z14,"Accept Hypothesis", "Reject Hypothesis")</f>
        <v>Accept Hypothesis</v>
      </c>
    </row>
    <row r="21" spans="1:26" x14ac:dyDescent="0.25">
      <c r="A21">
        <v>83</v>
      </c>
      <c r="B21">
        <v>54</v>
      </c>
      <c r="C21">
        <v>122</v>
      </c>
      <c r="D21">
        <v>56</v>
      </c>
      <c r="E21">
        <v>57</v>
      </c>
      <c r="F21">
        <v>125</v>
      </c>
      <c r="G21">
        <v>175</v>
      </c>
      <c r="H21">
        <v>124</v>
      </c>
      <c r="I21">
        <v>325</v>
      </c>
      <c r="J21">
        <v>58</v>
      </c>
      <c r="K21">
        <v>122</v>
      </c>
      <c r="L21">
        <v>70</v>
      </c>
      <c r="O21" t="s">
        <v>14</v>
      </c>
      <c r="P21">
        <v>50</v>
      </c>
    </row>
    <row r="22" spans="1:26" x14ac:dyDescent="0.25">
      <c r="A22">
        <v>77</v>
      </c>
      <c r="B22">
        <v>120</v>
      </c>
      <c r="C22">
        <v>65</v>
      </c>
      <c r="D22">
        <v>433</v>
      </c>
      <c r="E22">
        <v>130</v>
      </c>
      <c r="F22">
        <v>58</v>
      </c>
      <c r="G22">
        <v>86</v>
      </c>
      <c r="H22">
        <v>79</v>
      </c>
      <c r="I22">
        <v>388</v>
      </c>
      <c r="J22">
        <v>88</v>
      </c>
      <c r="K22">
        <v>106</v>
      </c>
      <c r="L22">
        <v>120</v>
      </c>
    </row>
    <row r="23" spans="1:26" x14ac:dyDescent="0.25">
      <c r="A23">
        <v>76</v>
      </c>
      <c r="B23">
        <v>115</v>
      </c>
      <c r="C23">
        <v>52</v>
      </c>
      <c r="D23">
        <v>108</v>
      </c>
      <c r="E23">
        <v>113</v>
      </c>
      <c r="F23">
        <v>266</v>
      </c>
      <c r="G23">
        <v>81</v>
      </c>
      <c r="H23">
        <v>104</v>
      </c>
      <c r="I23">
        <v>106</v>
      </c>
      <c r="J23">
        <v>458</v>
      </c>
      <c r="K23">
        <v>127</v>
      </c>
      <c r="L23">
        <v>460</v>
      </c>
    </row>
    <row r="24" spans="1:26" x14ac:dyDescent="0.25">
      <c r="A24">
        <v>311</v>
      </c>
      <c r="B24">
        <v>52</v>
      </c>
      <c r="C24">
        <v>58</v>
      </c>
      <c r="D24">
        <v>89</v>
      </c>
      <c r="E24">
        <v>228</v>
      </c>
      <c r="F24">
        <v>130</v>
      </c>
      <c r="G24">
        <v>77</v>
      </c>
      <c r="H24">
        <v>61</v>
      </c>
      <c r="I24">
        <v>117</v>
      </c>
      <c r="J24">
        <v>276</v>
      </c>
      <c r="K24">
        <v>100</v>
      </c>
      <c r="L24">
        <v>428</v>
      </c>
    </row>
    <row r="25" spans="1:26" x14ac:dyDescent="0.25">
      <c r="A25">
        <v>82</v>
      </c>
      <c r="B25">
        <v>65</v>
      </c>
      <c r="C25">
        <v>60</v>
      </c>
      <c r="D25">
        <v>85</v>
      </c>
      <c r="E25">
        <v>147</v>
      </c>
      <c r="F25">
        <v>116</v>
      </c>
      <c r="G25">
        <v>337</v>
      </c>
      <c r="H25">
        <v>280</v>
      </c>
      <c r="I25">
        <v>80</v>
      </c>
      <c r="J25">
        <v>70</v>
      </c>
      <c r="K25">
        <v>67</v>
      </c>
      <c r="L25">
        <v>153</v>
      </c>
      <c r="O25" s="2" t="s">
        <v>12</v>
      </c>
      <c r="P25" s="2"/>
      <c r="Q25" s="2" t="s">
        <v>17</v>
      </c>
      <c r="R25" s="1" t="s">
        <v>15</v>
      </c>
      <c r="S25" s="1" t="s">
        <v>16</v>
      </c>
    </row>
    <row r="26" spans="1:26" x14ac:dyDescent="0.25">
      <c r="A26">
        <v>112</v>
      </c>
      <c r="B26">
        <v>195</v>
      </c>
      <c r="C26">
        <v>134</v>
      </c>
      <c r="D26">
        <v>93</v>
      </c>
      <c r="E26">
        <v>345</v>
      </c>
      <c r="F26">
        <v>91</v>
      </c>
      <c r="G26">
        <v>115</v>
      </c>
      <c r="H26">
        <v>118</v>
      </c>
      <c r="I26">
        <v>83</v>
      </c>
      <c r="J26">
        <v>265</v>
      </c>
      <c r="K26">
        <v>121</v>
      </c>
      <c r="L26">
        <v>80</v>
      </c>
      <c r="O26">
        <f>P20</f>
        <v>50</v>
      </c>
      <c r="P26">
        <f t="shared" ref="P26:P33" si="9">O26+$P$21</f>
        <v>100</v>
      </c>
      <c r="Q26" s="2" t="str">
        <f t="shared" ref="Q26:Q34" si="10">O26&amp;" to "&amp;P26</f>
        <v>50 to 100</v>
      </c>
      <c r="R26">
        <f>V5</f>
        <v>326</v>
      </c>
      <c r="S26">
        <f>W5</f>
        <v>326</v>
      </c>
    </row>
    <row r="27" spans="1:26" x14ac:dyDescent="0.25">
      <c r="A27">
        <v>82</v>
      </c>
      <c r="B27">
        <v>78</v>
      </c>
      <c r="C27">
        <v>249</v>
      </c>
      <c r="D27">
        <v>70</v>
      </c>
      <c r="E27">
        <v>169</v>
      </c>
      <c r="F27">
        <v>67</v>
      </c>
      <c r="G27">
        <v>71</v>
      </c>
      <c r="H27">
        <v>188</v>
      </c>
      <c r="I27">
        <v>190</v>
      </c>
      <c r="J27">
        <v>79</v>
      </c>
      <c r="K27">
        <v>218</v>
      </c>
      <c r="L27">
        <v>61</v>
      </c>
      <c r="O27">
        <f>P26</f>
        <v>100</v>
      </c>
      <c r="P27">
        <f t="shared" si="9"/>
        <v>150</v>
      </c>
      <c r="Q27" s="2" t="str">
        <f t="shared" si="10"/>
        <v>100 to 150</v>
      </c>
      <c r="R27">
        <f t="shared" ref="R27:R34" si="11">V6</f>
        <v>525</v>
      </c>
      <c r="S27">
        <f t="shared" ref="S27:S34" si="12">W6</f>
        <v>199</v>
      </c>
    </row>
    <row r="28" spans="1:26" x14ac:dyDescent="0.25">
      <c r="A28">
        <v>60</v>
      </c>
      <c r="B28">
        <v>263</v>
      </c>
      <c r="C28">
        <v>110</v>
      </c>
      <c r="D28">
        <v>90</v>
      </c>
      <c r="E28">
        <v>243</v>
      </c>
      <c r="F28">
        <v>107</v>
      </c>
      <c r="G28">
        <v>79</v>
      </c>
      <c r="H28">
        <v>106</v>
      </c>
      <c r="I28">
        <v>231</v>
      </c>
      <c r="J28">
        <v>102</v>
      </c>
      <c r="K28">
        <v>70</v>
      </c>
      <c r="L28">
        <v>316</v>
      </c>
      <c r="O28">
        <f t="shared" ref="O28:O33" si="13">P27</f>
        <v>150</v>
      </c>
      <c r="P28">
        <f t="shared" si="9"/>
        <v>200</v>
      </c>
      <c r="Q28" s="2" t="str">
        <f t="shared" si="10"/>
        <v>150 to 200</v>
      </c>
      <c r="R28">
        <f t="shared" si="11"/>
        <v>649</v>
      </c>
      <c r="S28">
        <f t="shared" si="12"/>
        <v>124</v>
      </c>
    </row>
    <row r="29" spans="1:26" x14ac:dyDescent="0.25">
      <c r="A29">
        <v>167</v>
      </c>
      <c r="B29">
        <v>53</v>
      </c>
      <c r="C29">
        <v>179</v>
      </c>
      <c r="D29">
        <v>68</v>
      </c>
      <c r="E29">
        <v>161</v>
      </c>
      <c r="F29">
        <v>94</v>
      </c>
      <c r="G29">
        <v>90</v>
      </c>
      <c r="H29">
        <v>126</v>
      </c>
      <c r="I29">
        <v>78</v>
      </c>
      <c r="J29">
        <v>156</v>
      </c>
      <c r="K29">
        <v>126</v>
      </c>
      <c r="L29">
        <v>56</v>
      </c>
      <c r="O29">
        <f t="shared" si="13"/>
        <v>200</v>
      </c>
      <c r="P29">
        <f t="shared" si="9"/>
        <v>250</v>
      </c>
      <c r="Q29" s="2" t="str">
        <f t="shared" si="10"/>
        <v>200 to 250</v>
      </c>
      <c r="R29">
        <f t="shared" si="11"/>
        <v>725</v>
      </c>
      <c r="S29">
        <f t="shared" si="12"/>
        <v>76</v>
      </c>
    </row>
    <row r="30" spans="1:26" x14ac:dyDescent="0.25">
      <c r="A30">
        <v>59</v>
      </c>
      <c r="B30">
        <v>102</v>
      </c>
      <c r="C30">
        <v>252</v>
      </c>
      <c r="D30">
        <v>89</v>
      </c>
      <c r="E30">
        <v>132</v>
      </c>
      <c r="F30">
        <v>91</v>
      </c>
      <c r="G30">
        <v>57</v>
      </c>
      <c r="H30">
        <v>64</v>
      </c>
      <c r="I30">
        <v>163</v>
      </c>
      <c r="J30">
        <v>182</v>
      </c>
      <c r="K30">
        <v>54</v>
      </c>
      <c r="L30">
        <v>295</v>
      </c>
      <c r="O30">
        <f t="shared" si="13"/>
        <v>250</v>
      </c>
      <c r="P30">
        <f t="shared" si="9"/>
        <v>300</v>
      </c>
      <c r="Q30" s="2" t="str">
        <f t="shared" si="10"/>
        <v>250 to 300</v>
      </c>
      <c r="R30">
        <f t="shared" si="11"/>
        <v>774</v>
      </c>
      <c r="S30">
        <f t="shared" si="12"/>
        <v>49</v>
      </c>
    </row>
    <row r="31" spans="1:26" x14ac:dyDescent="0.25">
      <c r="A31">
        <v>93</v>
      </c>
      <c r="B31">
        <v>52</v>
      </c>
      <c r="C31">
        <v>164</v>
      </c>
      <c r="D31">
        <v>115</v>
      </c>
      <c r="E31">
        <v>71</v>
      </c>
      <c r="F31">
        <v>418</v>
      </c>
      <c r="G31">
        <v>122</v>
      </c>
      <c r="H31">
        <v>57</v>
      </c>
      <c r="I31">
        <v>55</v>
      </c>
      <c r="J31">
        <v>89</v>
      </c>
      <c r="K31">
        <v>128</v>
      </c>
      <c r="L31">
        <v>69</v>
      </c>
      <c r="O31">
        <f t="shared" si="13"/>
        <v>300</v>
      </c>
      <c r="P31">
        <f t="shared" si="9"/>
        <v>350</v>
      </c>
      <c r="Q31" s="2" t="str">
        <f t="shared" si="10"/>
        <v>300 to 350</v>
      </c>
      <c r="R31">
        <f t="shared" si="11"/>
        <v>803</v>
      </c>
      <c r="S31">
        <f t="shared" si="12"/>
        <v>29</v>
      </c>
    </row>
    <row r="32" spans="1:26" x14ac:dyDescent="0.25">
      <c r="A32">
        <v>75</v>
      </c>
      <c r="B32">
        <v>168</v>
      </c>
      <c r="C32">
        <v>218</v>
      </c>
      <c r="D32">
        <v>193</v>
      </c>
      <c r="E32">
        <v>112</v>
      </c>
      <c r="F32">
        <v>59</v>
      </c>
      <c r="G32">
        <v>165</v>
      </c>
      <c r="H32">
        <v>66</v>
      </c>
      <c r="I32">
        <v>305</v>
      </c>
      <c r="J32">
        <v>69</v>
      </c>
      <c r="K32">
        <v>410</v>
      </c>
      <c r="L32">
        <v>223</v>
      </c>
      <c r="O32">
        <f>P31</f>
        <v>350</v>
      </c>
      <c r="P32">
        <f t="shared" si="9"/>
        <v>400</v>
      </c>
      <c r="Q32" s="2" t="str">
        <f t="shared" si="10"/>
        <v>350 to 400</v>
      </c>
      <c r="R32">
        <f t="shared" si="11"/>
        <v>819</v>
      </c>
      <c r="S32">
        <f t="shared" si="12"/>
        <v>16</v>
      </c>
    </row>
    <row r="33" spans="1:20" x14ac:dyDescent="0.25">
      <c r="A33">
        <v>104</v>
      </c>
      <c r="B33">
        <v>157</v>
      </c>
      <c r="C33">
        <v>79</v>
      </c>
      <c r="D33">
        <v>118</v>
      </c>
      <c r="E33">
        <v>151</v>
      </c>
      <c r="F33">
        <v>106</v>
      </c>
      <c r="G33">
        <v>52</v>
      </c>
      <c r="H33">
        <v>93</v>
      </c>
      <c r="I33">
        <v>223</v>
      </c>
      <c r="J33">
        <v>165</v>
      </c>
      <c r="K33">
        <v>310</v>
      </c>
      <c r="L33">
        <v>244</v>
      </c>
      <c r="O33">
        <f t="shared" si="13"/>
        <v>400</v>
      </c>
      <c r="P33">
        <f t="shared" si="9"/>
        <v>450</v>
      </c>
      <c r="Q33" s="2" t="str">
        <f t="shared" si="10"/>
        <v>400 to 450</v>
      </c>
      <c r="R33">
        <f t="shared" si="11"/>
        <v>831</v>
      </c>
      <c r="S33">
        <f t="shared" si="12"/>
        <v>12</v>
      </c>
    </row>
    <row r="34" spans="1:20" x14ac:dyDescent="0.25">
      <c r="A34">
        <v>233</v>
      </c>
      <c r="B34">
        <v>165</v>
      </c>
      <c r="C34">
        <v>85</v>
      </c>
      <c r="D34">
        <v>123</v>
      </c>
      <c r="E34">
        <v>141</v>
      </c>
      <c r="F34">
        <v>62</v>
      </c>
      <c r="G34">
        <v>290</v>
      </c>
      <c r="H34">
        <v>241</v>
      </c>
      <c r="I34">
        <v>125</v>
      </c>
      <c r="J34">
        <v>153</v>
      </c>
      <c r="K34">
        <v>76</v>
      </c>
      <c r="L34">
        <v>422</v>
      </c>
      <c r="O34">
        <f t="shared" ref="O34" si="14">P33</f>
        <v>450</v>
      </c>
      <c r="P34">
        <f t="shared" ref="P34" si="15">O34+$P$21</f>
        <v>500</v>
      </c>
      <c r="Q34" s="22" t="str">
        <f t="shared" si="10"/>
        <v>450 to 500</v>
      </c>
      <c r="R34">
        <f t="shared" si="11"/>
        <v>835</v>
      </c>
      <c r="S34">
        <f t="shared" si="12"/>
        <v>4</v>
      </c>
      <c r="T34" s="13" t="s">
        <v>65</v>
      </c>
    </row>
    <row r="35" spans="1:20" x14ac:dyDescent="0.25">
      <c r="A35">
        <v>246</v>
      </c>
      <c r="B35">
        <v>116</v>
      </c>
      <c r="C35">
        <v>109</v>
      </c>
      <c r="D35">
        <v>233</v>
      </c>
      <c r="E35">
        <v>104</v>
      </c>
      <c r="F35">
        <v>224</v>
      </c>
      <c r="G35">
        <v>183</v>
      </c>
      <c r="H35">
        <v>332</v>
      </c>
      <c r="I35">
        <v>124</v>
      </c>
      <c r="J35">
        <v>93</v>
      </c>
      <c r="K35">
        <v>122</v>
      </c>
      <c r="L35">
        <v>110</v>
      </c>
      <c r="S35">
        <f>SUM(S26:S34)</f>
        <v>835</v>
      </c>
      <c r="T35" s="13" t="str">
        <f>IF(S35=(W14-W4),"OK - GRAPH DATA CONSISTENT WITH CHI-SQUARED TEST DATA","CHECK DATA")</f>
        <v>OK - GRAPH DATA CONSISTENT WITH CHI-SQUARED TEST DATA</v>
      </c>
    </row>
    <row r="36" spans="1:20" x14ac:dyDescent="0.25">
      <c r="A36">
        <v>53</v>
      </c>
      <c r="B36">
        <v>114</v>
      </c>
      <c r="C36">
        <v>193</v>
      </c>
      <c r="D36">
        <v>53</v>
      </c>
      <c r="E36">
        <v>54</v>
      </c>
      <c r="F36">
        <v>80</v>
      </c>
      <c r="G36">
        <v>73</v>
      </c>
      <c r="H36">
        <v>77</v>
      </c>
      <c r="I36">
        <v>252</v>
      </c>
      <c r="J36">
        <v>56</v>
      </c>
      <c r="K36">
        <v>143</v>
      </c>
      <c r="L36">
        <v>267</v>
      </c>
    </row>
    <row r="37" spans="1:20" x14ac:dyDescent="0.25">
      <c r="A37">
        <v>115</v>
      </c>
      <c r="B37">
        <v>91</v>
      </c>
      <c r="C37">
        <v>120</v>
      </c>
      <c r="D37">
        <v>146</v>
      </c>
      <c r="E37">
        <v>198</v>
      </c>
      <c r="F37">
        <v>104</v>
      </c>
      <c r="G37">
        <v>174</v>
      </c>
      <c r="H37">
        <v>74</v>
      </c>
      <c r="I37">
        <v>94</v>
      </c>
      <c r="J37">
        <v>175</v>
      </c>
      <c r="K37">
        <v>108</v>
      </c>
      <c r="L37">
        <v>146</v>
      </c>
    </row>
    <row r="38" spans="1:20" x14ac:dyDescent="0.25">
      <c r="A38">
        <v>80</v>
      </c>
      <c r="B38">
        <v>417</v>
      </c>
      <c r="C38">
        <v>137</v>
      </c>
      <c r="D38">
        <v>75</v>
      </c>
      <c r="E38">
        <v>179</v>
      </c>
      <c r="F38">
        <v>121</v>
      </c>
      <c r="G38">
        <v>202</v>
      </c>
      <c r="H38">
        <v>172</v>
      </c>
      <c r="I38">
        <v>196</v>
      </c>
      <c r="J38">
        <v>147</v>
      </c>
      <c r="K38">
        <v>155</v>
      </c>
      <c r="L38">
        <v>68</v>
      </c>
    </row>
    <row r="39" spans="1:20" x14ac:dyDescent="0.25">
      <c r="A39">
        <v>119</v>
      </c>
      <c r="B39">
        <v>65</v>
      </c>
      <c r="C39">
        <v>71</v>
      </c>
      <c r="D39">
        <v>148</v>
      </c>
      <c r="E39">
        <v>112</v>
      </c>
      <c r="F39">
        <v>222</v>
      </c>
      <c r="G39">
        <v>89</v>
      </c>
      <c r="H39">
        <v>91</v>
      </c>
      <c r="I39">
        <v>109</v>
      </c>
      <c r="J39">
        <v>62</v>
      </c>
      <c r="K39">
        <v>82</v>
      </c>
      <c r="L39">
        <v>274</v>
      </c>
    </row>
    <row r="40" spans="1:20" x14ac:dyDescent="0.25">
      <c r="A40">
        <v>110</v>
      </c>
      <c r="B40">
        <v>94</v>
      </c>
      <c r="C40">
        <v>162</v>
      </c>
      <c r="D40">
        <v>351</v>
      </c>
      <c r="E40">
        <v>221</v>
      </c>
      <c r="F40">
        <v>92</v>
      </c>
      <c r="G40">
        <v>104</v>
      </c>
      <c r="H40">
        <v>207</v>
      </c>
      <c r="I40">
        <v>94</v>
      </c>
      <c r="J40">
        <v>140</v>
      </c>
      <c r="K40">
        <v>98</v>
      </c>
      <c r="L40">
        <v>97</v>
      </c>
    </row>
    <row r="41" spans="1:20" x14ac:dyDescent="0.25">
      <c r="A41">
        <v>74</v>
      </c>
      <c r="B41">
        <v>270</v>
      </c>
      <c r="C41">
        <v>131</v>
      </c>
      <c r="D41">
        <v>77</v>
      </c>
      <c r="E41">
        <v>76</v>
      </c>
      <c r="F41">
        <v>199</v>
      </c>
      <c r="G41">
        <v>182</v>
      </c>
      <c r="H41">
        <v>373</v>
      </c>
      <c r="I41">
        <v>202</v>
      </c>
      <c r="J41">
        <v>102</v>
      </c>
      <c r="K41">
        <v>107</v>
      </c>
      <c r="L41">
        <v>63</v>
      </c>
    </row>
    <row r="42" spans="1:20" x14ac:dyDescent="0.25">
      <c r="A42">
        <v>174</v>
      </c>
      <c r="B42">
        <v>150</v>
      </c>
      <c r="C42">
        <v>73</v>
      </c>
      <c r="D42">
        <v>113</v>
      </c>
      <c r="E42">
        <v>52</v>
      </c>
      <c r="F42">
        <v>221</v>
      </c>
      <c r="G42">
        <v>84</v>
      </c>
      <c r="H42">
        <v>149</v>
      </c>
      <c r="I42">
        <v>68</v>
      </c>
      <c r="J42">
        <v>242</v>
      </c>
      <c r="K42">
        <v>219</v>
      </c>
      <c r="L42">
        <v>198</v>
      </c>
    </row>
    <row r="43" spans="1:20" x14ac:dyDescent="0.25">
      <c r="A43">
        <v>262</v>
      </c>
      <c r="B43">
        <v>196</v>
      </c>
      <c r="C43">
        <v>58</v>
      </c>
      <c r="D43">
        <v>193</v>
      </c>
      <c r="E43">
        <v>53</v>
      </c>
      <c r="F43">
        <v>173</v>
      </c>
      <c r="G43">
        <v>202</v>
      </c>
      <c r="H43">
        <v>330</v>
      </c>
      <c r="I43">
        <v>251</v>
      </c>
      <c r="J43">
        <v>250</v>
      </c>
      <c r="K43">
        <v>126</v>
      </c>
      <c r="L43">
        <v>54</v>
      </c>
    </row>
    <row r="44" spans="1:20" x14ac:dyDescent="0.25">
      <c r="A44">
        <v>159</v>
      </c>
      <c r="B44">
        <v>55</v>
      </c>
      <c r="C44">
        <v>139</v>
      </c>
      <c r="D44">
        <v>154</v>
      </c>
      <c r="E44">
        <v>117</v>
      </c>
      <c r="F44">
        <v>191</v>
      </c>
      <c r="G44">
        <v>68</v>
      </c>
      <c r="H44">
        <v>150</v>
      </c>
      <c r="I44">
        <v>85</v>
      </c>
      <c r="J44">
        <v>105</v>
      </c>
      <c r="K44">
        <v>337</v>
      </c>
      <c r="L44">
        <v>199</v>
      </c>
    </row>
    <row r="45" spans="1:20" x14ac:dyDescent="0.25">
      <c r="A45">
        <v>133</v>
      </c>
      <c r="B45">
        <v>191</v>
      </c>
      <c r="C45">
        <v>132</v>
      </c>
      <c r="D45">
        <v>233</v>
      </c>
      <c r="E45">
        <v>90</v>
      </c>
      <c r="F45">
        <v>131</v>
      </c>
      <c r="G45">
        <v>124</v>
      </c>
      <c r="H45">
        <v>103</v>
      </c>
      <c r="I45">
        <v>110</v>
      </c>
      <c r="J45">
        <v>66</v>
      </c>
      <c r="K45">
        <v>64</v>
      </c>
      <c r="L45">
        <v>173</v>
      </c>
    </row>
    <row r="46" spans="1:20" x14ac:dyDescent="0.25">
      <c r="A46">
        <v>462</v>
      </c>
      <c r="B46">
        <v>330</v>
      </c>
      <c r="C46">
        <v>86</v>
      </c>
      <c r="D46">
        <v>78</v>
      </c>
      <c r="E46">
        <v>77</v>
      </c>
      <c r="F46">
        <v>151</v>
      </c>
      <c r="G46">
        <v>57</v>
      </c>
      <c r="H46">
        <v>91</v>
      </c>
      <c r="I46">
        <v>59</v>
      </c>
      <c r="J46">
        <v>279</v>
      </c>
      <c r="K46">
        <v>105</v>
      </c>
      <c r="L46">
        <v>126</v>
      </c>
    </row>
    <row r="47" spans="1:20" x14ac:dyDescent="0.25">
      <c r="A47">
        <v>83</v>
      </c>
      <c r="B47">
        <v>357</v>
      </c>
      <c r="C47">
        <v>162</v>
      </c>
      <c r="D47">
        <v>157</v>
      </c>
      <c r="E47">
        <v>136</v>
      </c>
      <c r="F47">
        <v>102</v>
      </c>
      <c r="G47">
        <v>86</v>
      </c>
      <c r="H47">
        <v>110</v>
      </c>
      <c r="I47">
        <v>212</v>
      </c>
      <c r="J47">
        <v>59</v>
      </c>
      <c r="K47">
        <v>167</v>
      </c>
      <c r="L47">
        <v>58</v>
      </c>
    </row>
    <row r="48" spans="1:20" x14ac:dyDescent="0.25">
      <c r="A48">
        <v>61</v>
      </c>
      <c r="B48">
        <v>132</v>
      </c>
      <c r="C48">
        <v>307</v>
      </c>
      <c r="D48">
        <v>138</v>
      </c>
      <c r="E48">
        <v>355</v>
      </c>
      <c r="F48">
        <v>116</v>
      </c>
      <c r="G48">
        <v>62</v>
      </c>
      <c r="H48">
        <v>266</v>
      </c>
      <c r="I48">
        <v>137</v>
      </c>
      <c r="J48">
        <v>123</v>
      </c>
      <c r="K48">
        <v>293</v>
      </c>
      <c r="L48">
        <v>127</v>
      </c>
    </row>
    <row r="49" spans="1:12" x14ac:dyDescent="0.25">
      <c r="A49">
        <v>197</v>
      </c>
      <c r="B49">
        <v>81</v>
      </c>
      <c r="C49">
        <v>74</v>
      </c>
      <c r="D49">
        <v>53</v>
      </c>
      <c r="E49">
        <v>54</v>
      </c>
      <c r="F49">
        <v>64</v>
      </c>
      <c r="G49">
        <v>59</v>
      </c>
      <c r="H49">
        <v>191</v>
      </c>
      <c r="I49">
        <v>71</v>
      </c>
      <c r="J49">
        <v>170</v>
      </c>
      <c r="K49">
        <v>88</v>
      </c>
      <c r="L49">
        <v>176</v>
      </c>
    </row>
    <row r="50" spans="1:12" x14ac:dyDescent="0.25">
      <c r="A50">
        <v>90</v>
      </c>
      <c r="B50">
        <v>63</v>
      </c>
      <c r="C50">
        <v>56</v>
      </c>
      <c r="D50">
        <v>187</v>
      </c>
      <c r="E50">
        <v>449</v>
      </c>
      <c r="F50">
        <v>62</v>
      </c>
      <c r="G50">
        <v>78</v>
      </c>
      <c r="H50">
        <v>86</v>
      </c>
      <c r="I50">
        <v>190</v>
      </c>
      <c r="J50">
        <v>74</v>
      </c>
      <c r="K50">
        <v>430</v>
      </c>
      <c r="L50">
        <v>182</v>
      </c>
    </row>
    <row r="51" spans="1:12" x14ac:dyDescent="0.25">
      <c r="A51">
        <v>126</v>
      </c>
      <c r="B51">
        <v>339</v>
      </c>
      <c r="C51">
        <v>99</v>
      </c>
      <c r="D51">
        <v>101</v>
      </c>
      <c r="E51">
        <v>58</v>
      </c>
      <c r="F51">
        <v>75</v>
      </c>
      <c r="G51">
        <v>103</v>
      </c>
      <c r="H51">
        <v>368</v>
      </c>
      <c r="I51">
        <v>162</v>
      </c>
      <c r="J51">
        <v>224</v>
      </c>
      <c r="K51">
        <v>255</v>
      </c>
      <c r="L51">
        <v>141</v>
      </c>
    </row>
    <row r="52" spans="1:12" x14ac:dyDescent="0.25">
      <c r="A52">
        <v>151</v>
      </c>
      <c r="B52">
        <v>60</v>
      </c>
      <c r="C52">
        <v>366</v>
      </c>
      <c r="D52">
        <v>284</v>
      </c>
      <c r="E52">
        <v>85</v>
      </c>
      <c r="F52">
        <v>314</v>
      </c>
      <c r="G52">
        <v>81</v>
      </c>
      <c r="H52">
        <v>181</v>
      </c>
      <c r="I52">
        <v>79</v>
      </c>
      <c r="J52">
        <v>67</v>
      </c>
      <c r="K52">
        <v>227</v>
      </c>
      <c r="L52">
        <v>72</v>
      </c>
    </row>
    <row r="53" spans="1:12" x14ac:dyDescent="0.25">
      <c r="A53">
        <v>115</v>
      </c>
      <c r="B53">
        <v>62</v>
      </c>
      <c r="C53">
        <v>112</v>
      </c>
      <c r="D53">
        <v>91</v>
      </c>
      <c r="E53">
        <v>76</v>
      </c>
      <c r="F53">
        <v>287</v>
      </c>
      <c r="G53">
        <v>213</v>
      </c>
      <c r="H53">
        <v>201</v>
      </c>
      <c r="I53">
        <v>142</v>
      </c>
      <c r="J53">
        <v>66</v>
      </c>
      <c r="K53">
        <v>92</v>
      </c>
      <c r="L53">
        <v>57</v>
      </c>
    </row>
    <row r="54" spans="1:12" x14ac:dyDescent="0.25">
      <c r="A54">
        <v>95</v>
      </c>
      <c r="B54">
        <v>71</v>
      </c>
      <c r="C54">
        <v>82</v>
      </c>
      <c r="D54">
        <v>69</v>
      </c>
      <c r="E54">
        <v>123</v>
      </c>
      <c r="F54">
        <v>203</v>
      </c>
      <c r="G54">
        <v>152</v>
      </c>
      <c r="H54">
        <v>204</v>
      </c>
      <c r="I54">
        <v>107</v>
      </c>
      <c r="J54">
        <v>198</v>
      </c>
      <c r="K54">
        <v>55</v>
      </c>
      <c r="L54">
        <v>56</v>
      </c>
    </row>
    <row r="55" spans="1:12" x14ac:dyDescent="0.25">
      <c r="A55">
        <v>216</v>
      </c>
      <c r="B55">
        <v>151</v>
      </c>
      <c r="C55">
        <v>68</v>
      </c>
      <c r="D55">
        <v>77</v>
      </c>
      <c r="E55">
        <v>98</v>
      </c>
      <c r="F55">
        <v>128</v>
      </c>
      <c r="G55">
        <v>130</v>
      </c>
      <c r="H55">
        <v>247</v>
      </c>
      <c r="I55">
        <v>91</v>
      </c>
      <c r="J55">
        <v>363</v>
      </c>
      <c r="K55">
        <v>419</v>
      </c>
      <c r="L55">
        <v>65</v>
      </c>
    </row>
    <row r="56" spans="1:12" x14ac:dyDescent="0.25">
      <c r="A56">
        <v>219</v>
      </c>
      <c r="B56">
        <v>120</v>
      </c>
      <c r="C56">
        <v>191</v>
      </c>
      <c r="D56">
        <v>123</v>
      </c>
      <c r="E56">
        <v>72</v>
      </c>
      <c r="F56">
        <v>96</v>
      </c>
      <c r="G56">
        <v>214</v>
      </c>
      <c r="H56">
        <v>85</v>
      </c>
      <c r="I56">
        <v>184</v>
      </c>
      <c r="J56">
        <v>95</v>
      </c>
      <c r="K56">
        <v>263</v>
      </c>
      <c r="L56">
        <v>257</v>
      </c>
    </row>
    <row r="57" spans="1:12" x14ac:dyDescent="0.25">
      <c r="A57">
        <v>144</v>
      </c>
      <c r="B57">
        <v>61</v>
      </c>
      <c r="C57">
        <v>140</v>
      </c>
      <c r="D57">
        <v>88</v>
      </c>
      <c r="E57">
        <v>122</v>
      </c>
      <c r="F57">
        <v>237</v>
      </c>
      <c r="G57">
        <v>199</v>
      </c>
      <c r="H57">
        <v>85</v>
      </c>
      <c r="I57">
        <v>75</v>
      </c>
      <c r="J57">
        <v>65</v>
      </c>
      <c r="K57">
        <v>70</v>
      </c>
      <c r="L57">
        <v>65</v>
      </c>
    </row>
    <row r="58" spans="1:12" x14ac:dyDescent="0.25">
      <c r="A58">
        <v>80</v>
      </c>
      <c r="B58">
        <v>328</v>
      </c>
      <c r="C58">
        <v>251</v>
      </c>
      <c r="D58">
        <v>56</v>
      </c>
      <c r="E58">
        <v>105</v>
      </c>
      <c r="F58">
        <v>164</v>
      </c>
      <c r="G58">
        <v>165</v>
      </c>
      <c r="H58">
        <v>99</v>
      </c>
      <c r="I58">
        <v>243</v>
      </c>
      <c r="J58">
        <v>130</v>
      </c>
      <c r="K58">
        <v>67</v>
      </c>
      <c r="L58">
        <v>108</v>
      </c>
    </row>
    <row r="59" spans="1:12" x14ac:dyDescent="0.25">
      <c r="A59">
        <v>150</v>
      </c>
      <c r="B59">
        <v>66</v>
      </c>
      <c r="C59">
        <v>176</v>
      </c>
      <c r="D59">
        <v>62</v>
      </c>
      <c r="E59">
        <v>143</v>
      </c>
      <c r="F59">
        <v>164</v>
      </c>
      <c r="G59">
        <v>158</v>
      </c>
      <c r="H59">
        <v>193</v>
      </c>
      <c r="I59">
        <v>260</v>
      </c>
      <c r="J59">
        <v>70</v>
      </c>
      <c r="K59">
        <v>174</v>
      </c>
      <c r="L59">
        <v>68</v>
      </c>
    </row>
    <row r="60" spans="1:12" x14ac:dyDescent="0.25">
      <c r="A60">
        <v>121</v>
      </c>
      <c r="B60">
        <v>55</v>
      </c>
      <c r="C60">
        <v>169</v>
      </c>
      <c r="D60">
        <v>91</v>
      </c>
      <c r="E60">
        <v>80</v>
      </c>
      <c r="F60">
        <v>93</v>
      </c>
      <c r="G60">
        <v>288</v>
      </c>
      <c r="H60">
        <v>55</v>
      </c>
      <c r="I60">
        <v>81</v>
      </c>
      <c r="J60">
        <v>96</v>
      </c>
      <c r="K60">
        <v>286</v>
      </c>
      <c r="L60">
        <v>90</v>
      </c>
    </row>
    <row r="61" spans="1:12" x14ac:dyDescent="0.25">
      <c r="A61">
        <v>275</v>
      </c>
      <c r="B61">
        <v>98</v>
      </c>
      <c r="C61">
        <v>111</v>
      </c>
      <c r="D61">
        <v>213</v>
      </c>
      <c r="E61">
        <v>200</v>
      </c>
      <c r="F61">
        <v>84</v>
      </c>
      <c r="G61">
        <v>62</v>
      </c>
      <c r="H61">
        <v>114</v>
      </c>
      <c r="I61">
        <v>66</v>
      </c>
      <c r="J61">
        <v>72</v>
      </c>
      <c r="K61">
        <v>173</v>
      </c>
      <c r="L61">
        <v>449</v>
      </c>
    </row>
    <row r="62" spans="1:12" x14ac:dyDescent="0.25">
      <c r="A62">
        <v>134</v>
      </c>
      <c r="B62">
        <v>59</v>
      </c>
      <c r="C62">
        <v>83</v>
      </c>
      <c r="D62">
        <v>87</v>
      </c>
      <c r="E62">
        <v>104</v>
      </c>
      <c r="F62">
        <v>75</v>
      </c>
      <c r="G62">
        <v>122</v>
      </c>
      <c r="H62">
        <v>112</v>
      </c>
      <c r="I62">
        <v>226</v>
      </c>
      <c r="J62">
        <v>52</v>
      </c>
      <c r="K62">
        <v>65</v>
      </c>
      <c r="L62">
        <v>80</v>
      </c>
    </row>
    <row r="63" spans="1:12" x14ac:dyDescent="0.25">
      <c r="A63">
        <v>112</v>
      </c>
      <c r="C63">
        <v>59</v>
      </c>
      <c r="D63">
        <v>54</v>
      </c>
      <c r="E63">
        <v>256</v>
      </c>
      <c r="F63">
        <v>132</v>
      </c>
      <c r="G63">
        <v>208</v>
      </c>
      <c r="H63">
        <v>264</v>
      </c>
      <c r="I63">
        <v>110</v>
      </c>
      <c r="J63">
        <v>250</v>
      </c>
      <c r="K63">
        <v>152</v>
      </c>
      <c r="L63">
        <v>194</v>
      </c>
    </row>
    <row r="64" spans="1:12" x14ac:dyDescent="0.25">
      <c r="A64">
        <v>99</v>
      </c>
      <c r="C64">
        <v>68</v>
      </c>
      <c r="D64">
        <v>141</v>
      </c>
      <c r="E64">
        <v>289</v>
      </c>
      <c r="F64">
        <v>241</v>
      </c>
      <c r="G64">
        <v>157</v>
      </c>
      <c r="H64">
        <v>275</v>
      </c>
      <c r="I64">
        <v>198</v>
      </c>
      <c r="J64">
        <v>351</v>
      </c>
      <c r="K64">
        <v>115</v>
      </c>
      <c r="L64">
        <v>136</v>
      </c>
    </row>
    <row r="65" spans="1:12" x14ac:dyDescent="0.25">
      <c r="A65">
        <v>68</v>
      </c>
      <c r="C65">
        <v>196</v>
      </c>
      <c r="D65">
        <v>224</v>
      </c>
      <c r="E65">
        <v>74</v>
      </c>
      <c r="F65">
        <v>198</v>
      </c>
      <c r="G65">
        <v>189</v>
      </c>
      <c r="H65">
        <v>291</v>
      </c>
      <c r="J65">
        <v>211</v>
      </c>
      <c r="K65">
        <v>211</v>
      </c>
      <c r="L65">
        <v>169</v>
      </c>
    </row>
    <row r="66" spans="1:12" x14ac:dyDescent="0.25">
      <c r="A66">
        <v>311</v>
      </c>
      <c r="C66">
        <v>168</v>
      </c>
      <c r="D66">
        <v>101</v>
      </c>
      <c r="E66">
        <v>69</v>
      </c>
      <c r="F66">
        <v>54</v>
      </c>
      <c r="H66">
        <v>61</v>
      </c>
      <c r="J66">
        <v>327</v>
      </c>
      <c r="K66">
        <v>162</v>
      </c>
      <c r="L66">
        <v>300</v>
      </c>
    </row>
    <row r="67" spans="1:12" x14ac:dyDescent="0.25">
      <c r="A67">
        <v>253</v>
      </c>
      <c r="C67">
        <v>106</v>
      </c>
      <c r="D67">
        <v>265</v>
      </c>
      <c r="E67">
        <v>131</v>
      </c>
      <c r="F67">
        <v>94</v>
      </c>
      <c r="H67">
        <v>88</v>
      </c>
      <c r="J67">
        <v>263</v>
      </c>
      <c r="K67">
        <v>222</v>
      </c>
      <c r="L67">
        <v>85</v>
      </c>
    </row>
    <row r="68" spans="1:12" x14ac:dyDescent="0.25">
      <c r="A68">
        <v>137</v>
      </c>
      <c r="D68">
        <v>340</v>
      </c>
      <c r="E68">
        <v>236</v>
      </c>
      <c r="F68">
        <v>62</v>
      </c>
      <c r="H68">
        <v>122</v>
      </c>
      <c r="J68">
        <v>57</v>
      </c>
      <c r="K68">
        <v>107</v>
      </c>
    </row>
    <row r="69" spans="1:12" x14ac:dyDescent="0.25">
      <c r="A69">
        <v>82</v>
      </c>
      <c r="D69">
        <v>107</v>
      </c>
      <c r="E69">
        <v>67</v>
      </c>
      <c r="F69">
        <v>205</v>
      </c>
      <c r="H69">
        <v>355</v>
      </c>
      <c r="J69">
        <v>129</v>
      </c>
      <c r="K69">
        <v>166</v>
      </c>
    </row>
    <row r="70" spans="1:12" x14ac:dyDescent="0.25">
      <c r="A70">
        <v>80</v>
      </c>
      <c r="D70">
        <v>206</v>
      </c>
      <c r="E70">
        <v>267</v>
      </c>
      <c r="F70">
        <v>168</v>
      </c>
      <c r="H70">
        <v>78</v>
      </c>
      <c r="J70">
        <v>137</v>
      </c>
      <c r="K70">
        <v>61</v>
      </c>
    </row>
    <row r="71" spans="1:12" x14ac:dyDescent="0.25">
      <c r="A71">
        <v>143</v>
      </c>
      <c r="D71">
        <v>225</v>
      </c>
      <c r="E71">
        <v>193</v>
      </c>
      <c r="H71">
        <v>86</v>
      </c>
      <c r="J71">
        <v>324</v>
      </c>
      <c r="K71">
        <v>111</v>
      </c>
    </row>
    <row r="72" spans="1:12" x14ac:dyDescent="0.25">
      <c r="D72">
        <v>357</v>
      </c>
      <c r="E72">
        <v>71</v>
      </c>
      <c r="J72">
        <v>112</v>
      </c>
      <c r="K72">
        <v>62</v>
      </c>
    </row>
    <row r="73" spans="1:12" x14ac:dyDescent="0.25">
      <c r="D73">
        <v>234</v>
      </c>
      <c r="E73">
        <v>225</v>
      </c>
      <c r="J73">
        <v>83</v>
      </c>
      <c r="K73">
        <v>55</v>
      </c>
    </row>
    <row r="74" spans="1:12" x14ac:dyDescent="0.25">
      <c r="D74">
        <v>70</v>
      </c>
      <c r="E74">
        <v>180</v>
      </c>
      <c r="J74">
        <v>134</v>
      </c>
      <c r="K74">
        <v>91</v>
      </c>
    </row>
    <row r="75" spans="1:12" x14ac:dyDescent="0.25">
      <c r="E75">
        <v>100</v>
      </c>
      <c r="J75">
        <v>61</v>
      </c>
      <c r="K75">
        <v>233</v>
      </c>
    </row>
    <row r="76" spans="1:12" x14ac:dyDescent="0.25">
      <c r="E76">
        <v>321</v>
      </c>
      <c r="K76">
        <v>123</v>
      </c>
    </row>
    <row r="77" spans="1:12" x14ac:dyDescent="0.25">
      <c r="E77">
        <v>210</v>
      </c>
      <c r="K77">
        <v>83</v>
      </c>
    </row>
    <row r="78" spans="1:12" x14ac:dyDescent="0.25">
      <c r="E78">
        <v>81</v>
      </c>
      <c r="K78">
        <v>116</v>
      </c>
    </row>
    <row r="79" spans="1:12" x14ac:dyDescent="0.25">
      <c r="E79">
        <v>71</v>
      </c>
    </row>
    <row r="80" spans="1:12" x14ac:dyDescent="0.25">
      <c r="E80">
        <v>236</v>
      </c>
    </row>
    <row r="81" spans="5:5" x14ac:dyDescent="0.25">
      <c r="E81">
        <v>234</v>
      </c>
    </row>
    <row r="82" spans="5:5" x14ac:dyDescent="0.25">
      <c r="E82">
        <v>220</v>
      </c>
    </row>
    <row r="83" spans="5:5" x14ac:dyDescent="0.25">
      <c r="E83">
        <v>230</v>
      </c>
    </row>
  </sheetData>
  <mergeCells count="2">
    <mergeCell ref="V2:W2"/>
    <mergeCell ref="X2:Y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5"/>
  <sheetViews>
    <sheetView workbookViewId="0"/>
  </sheetViews>
  <sheetFormatPr defaultRowHeight="15" x14ac:dyDescent="0.25"/>
  <cols>
    <col min="1" max="1" width="38" customWidth="1"/>
    <col min="2" max="2" width="4.28515625" customWidth="1"/>
    <col min="3" max="3" width="18.28515625" customWidth="1"/>
  </cols>
  <sheetData>
    <row r="1" spans="1:4" x14ac:dyDescent="0.25">
      <c r="A1" s="12" t="s">
        <v>31</v>
      </c>
    </row>
    <row r="3" spans="1:4" x14ac:dyDescent="0.25">
      <c r="A3" t="s">
        <v>32</v>
      </c>
      <c r="C3" s="10">
        <v>10000</v>
      </c>
      <c r="D3" s="13" t="s">
        <v>34</v>
      </c>
    </row>
    <row r="4" spans="1:4" x14ac:dyDescent="0.25">
      <c r="A4" t="s">
        <v>81</v>
      </c>
      <c r="C4" s="11">
        <v>20</v>
      </c>
      <c r="D4" s="13" t="s">
        <v>35</v>
      </c>
    </row>
    <row r="5" spans="1:4" x14ac:dyDescent="0.25">
      <c r="A5" t="s">
        <v>70</v>
      </c>
      <c r="C5" s="11">
        <v>50</v>
      </c>
      <c r="D5" s="13" t="s">
        <v>36</v>
      </c>
    </row>
    <row r="6" spans="1:4" x14ac:dyDescent="0.25">
      <c r="A6" t="s">
        <v>39</v>
      </c>
      <c r="C6">
        <v>12</v>
      </c>
      <c r="D6" s="13" t="s">
        <v>40</v>
      </c>
    </row>
    <row r="7" spans="1:4" x14ac:dyDescent="0.25">
      <c r="D7" s="13"/>
    </row>
    <row r="8" spans="1:4" x14ac:dyDescent="0.25">
      <c r="A8" t="s">
        <v>49</v>
      </c>
      <c r="C8" s="11">
        <v>1</v>
      </c>
      <c r="D8" s="13" t="s">
        <v>45</v>
      </c>
    </row>
    <row r="9" spans="1:4" x14ac:dyDescent="0.25">
      <c r="A9" t="s">
        <v>50</v>
      </c>
      <c r="C9" s="11">
        <v>0.75</v>
      </c>
      <c r="D9" s="13" t="s">
        <v>46</v>
      </c>
    </row>
    <row r="10" spans="1:4" x14ac:dyDescent="0.25">
      <c r="A10" t="s">
        <v>51</v>
      </c>
      <c r="C10" s="11">
        <v>10</v>
      </c>
      <c r="D10" s="13" t="s">
        <v>47</v>
      </c>
    </row>
    <row r="12" spans="1:4" x14ac:dyDescent="0.25">
      <c r="A12" s="3" t="s">
        <v>53</v>
      </c>
    </row>
    <row r="14" spans="1:4" x14ac:dyDescent="0.25">
      <c r="A14" t="s">
        <v>33</v>
      </c>
      <c r="C14" s="9">
        <v>0.01</v>
      </c>
      <c r="D14" s="13" t="s">
        <v>28</v>
      </c>
    </row>
    <row r="15" spans="1:4" x14ac:dyDescent="0.25">
      <c r="C15" s="9"/>
      <c r="D15" s="13"/>
    </row>
    <row r="16" spans="1:4" x14ac:dyDescent="0.25">
      <c r="A16" t="s">
        <v>66</v>
      </c>
      <c r="C16" s="21">
        <v>0.05</v>
      </c>
      <c r="D16" s="13" t="s">
        <v>67</v>
      </c>
    </row>
    <row r="18" spans="1:4" x14ac:dyDescent="0.25">
      <c r="A18" s="3" t="s">
        <v>52</v>
      </c>
    </row>
    <row r="20" spans="1:4" x14ac:dyDescent="0.25">
      <c r="A20" t="s">
        <v>76</v>
      </c>
      <c r="C20" s="15">
        <v>0.1</v>
      </c>
      <c r="D20" s="13" t="s">
        <v>77</v>
      </c>
    </row>
    <row r="23" spans="1:4" x14ac:dyDescent="0.25">
      <c r="A23" s="3" t="s">
        <v>57</v>
      </c>
    </row>
    <row r="25" spans="1:4" x14ac:dyDescent="0.25">
      <c r="A25" t="s">
        <v>58</v>
      </c>
      <c r="C25" s="15">
        <v>1.1000000000000001</v>
      </c>
      <c r="D25" s="1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"/>
  <sheetViews>
    <sheetView workbookViewId="0"/>
  </sheetViews>
  <sheetFormatPr defaultRowHeight="15" x14ac:dyDescent="0.25"/>
  <cols>
    <col min="1" max="1" width="31.7109375" customWidth="1"/>
    <col min="2" max="13" width="11.42578125" customWidth="1"/>
  </cols>
  <sheetData>
    <row r="1" spans="1:14" s="3" customFormat="1" x14ac:dyDescent="0.25">
      <c r="A1" s="3" t="s">
        <v>37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/>
    </row>
    <row r="3" spans="1:14" x14ac:dyDescent="0.25">
      <c r="A3" t="s">
        <v>38</v>
      </c>
      <c r="B3" s="9">
        <f t="shared" ref="B3:M3" si="0">No_policies_written*Cost_policy/Payment_Freq</f>
        <v>16666.666666666668</v>
      </c>
      <c r="C3" s="9">
        <f t="shared" si="0"/>
        <v>16666.666666666668</v>
      </c>
      <c r="D3" s="9">
        <f t="shared" si="0"/>
        <v>16666.666666666668</v>
      </c>
      <c r="E3" s="9">
        <f t="shared" si="0"/>
        <v>16666.666666666668</v>
      </c>
      <c r="F3" s="9">
        <f t="shared" si="0"/>
        <v>16666.666666666668</v>
      </c>
      <c r="G3" s="9">
        <f t="shared" si="0"/>
        <v>16666.666666666668</v>
      </c>
      <c r="H3" s="9">
        <f t="shared" si="0"/>
        <v>16666.666666666668</v>
      </c>
      <c r="I3" s="9">
        <f t="shared" si="0"/>
        <v>16666.666666666668</v>
      </c>
      <c r="J3" s="9">
        <f t="shared" si="0"/>
        <v>16666.666666666668</v>
      </c>
      <c r="K3" s="9">
        <f t="shared" si="0"/>
        <v>16666.666666666668</v>
      </c>
      <c r="L3" s="9">
        <f t="shared" si="0"/>
        <v>16666.666666666668</v>
      </c>
      <c r="M3" s="9">
        <f t="shared" si="0"/>
        <v>16666.666666666668</v>
      </c>
    </row>
    <row r="5" spans="1:14" x14ac:dyDescent="0.25">
      <c r="A5" t="s">
        <v>43</v>
      </c>
      <c r="B5" s="9">
        <f t="shared" ref="B5:M5" si="1">IF(B1="January",No_policies_written*Init_expenses,0)</f>
        <v>10000</v>
      </c>
      <c r="C5" s="9">
        <f t="shared" si="1"/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  <c r="M5" s="9">
        <f t="shared" si="1"/>
        <v>0</v>
      </c>
    </row>
    <row r="7" spans="1:14" x14ac:dyDescent="0.25">
      <c r="A7" t="s">
        <v>42</v>
      </c>
      <c r="B7" s="9">
        <f t="shared" ref="B7:M7" si="2">No_policies_written*Mon_expenses</f>
        <v>7500</v>
      </c>
      <c r="C7" s="9">
        <f t="shared" si="2"/>
        <v>7500</v>
      </c>
      <c r="D7" s="9">
        <f t="shared" si="2"/>
        <v>7500</v>
      </c>
      <c r="E7" s="9">
        <f t="shared" si="2"/>
        <v>7500</v>
      </c>
      <c r="F7" s="9">
        <f t="shared" si="2"/>
        <v>7500</v>
      </c>
      <c r="G7" s="9">
        <f t="shared" si="2"/>
        <v>7500</v>
      </c>
      <c r="H7" s="9">
        <f t="shared" si="2"/>
        <v>7500</v>
      </c>
      <c r="I7" s="9">
        <f t="shared" si="2"/>
        <v>7500</v>
      </c>
      <c r="J7" s="9">
        <f t="shared" si="2"/>
        <v>7500</v>
      </c>
      <c r="K7" s="9">
        <f t="shared" si="2"/>
        <v>7500</v>
      </c>
      <c r="L7" s="9">
        <f t="shared" si="2"/>
        <v>7500</v>
      </c>
      <c r="M7" s="9">
        <f t="shared" si="2"/>
        <v>7500</v>
      </c>
    </row>
    <row r="9" spans="1:14" x14ac:dyDescent="0.25">
      <c r="A9" t="s">
        <v>41</v>
      </c>
      <c r="B9" s="9">
        <f>SUM(Data!A:A)-COUNT(Data!A:A)*Excess_policy</f>
        <v>6281</v>
      </c>
      <c r="C9" s="9">
        <f>SUM(Data!B:B)-COUNT(Data!B:B)*Excess_policy</f>
        <v>5721</v>
      </c>
      <c r="D9" s="9">
        <f>SUM(Data!C:C)-COUNT(Data!C:C)*Excess_policy</f>
        <v>5539</v>
      </c>
      <c r="E9" s="9">
        <f>SUM(Data!D:D)-COUNT(Data!D:D)*Excess_policy</f>
        <v>6698</v>
      </c>
      <c r="F9" s="9">
        <f>SUM(Data!E:E)-COUNT(Data!E:E)*Excess_policy</f>
        <v>8036</v>
      </c>
      <c r="G9" s="9">
        <f>SUM(Data!F:F)-COUNT(Data!F:F)*Excess_policy</f>
        <v>6317</v>
      </c>
      <c r="H9" s="9">
        <f>SUM(Data!G:G)-COUNT(Data!G:G)*Excess_policy</f>
        <v>5818</v>
      </c>
      <c r="I9" s="9">
        <f>SUM(Data!H:H)-COUNT(Data!H:H)*Excess_policy</f>
        <v>6751</v>
      </c>
      <c r="J9" s="9">
        <f>SUM(Data!I:I)-COUNT(Data!I:I)*Excess_policy</f>
        <v>5752</v>
      </c>
      <c r="K9" s="9">
        <f>SUM(Data!J:J)-COUNT(Data!J:J)*Excess_policy</f>
        <v>7796</v>
      </c>
      <c r="L9" s="9">
        <f>SUM(Data!K:K)-COUNT(Data!K:K)*Excess_policy</f>
        <v>7974</v>
      </c>
      <c r="M9" s="9">
        <f>SUM(Data!L:L)-COUNT(Data!L:L)*Excess_policy</f>
        <v>7444</v>
      </c>
    </row>
    <row r="10" spans="1:14" x14ac:dyDescent="0.25">
      <c r="A10" t="s">
        <v>44</v>
      </c>
      <c r="B10" s="9">
        <f>Claim_expenses*COUNT(Data!A:A)</f>
        <v>700</v>
      </c>
      <c r="C10" s="9">
        <f>Claim_expenses*COUNT(Data!B:B)</f>
        <v>610</v>
      </c>
      <c r="D10" s="9">
        <f>Claim_expenses*COUNT(Data!C:C)</f>
        <v>660</v>
      </c>
      <c r="E10" s="9">
        <f>Claim_expenses*COUNT(Data!D:D)</f>
        <v>730</v>
      </c>
      <c r="F10" s="9">
        <f>Claim_expenses*COUNT(Data!E:E)</f>
        <v>820</v>
      </c>
      <c r="G10" s="9">
        <f>Claim_expenses*COUNT(Data!F:F)</f>
        <v>690</v>
      </c>
      <c r="H10" s="9">
        <f>Claim_expenses*COUNT(Data!G:G)</f>
        <v>640</v>
      </c>
      <c r="I10" s="9">
        <f>Claim_expenses*COUNT(Data!H:H)</f>
        <v>700</v>
      </c>
      <c r="J10" s="9">
        <f>Claim_expenses*COUNT(Data!I:I)</f>
        <v>630</v>
      </c>
      <c r="K10" s="9">
        <f>Claim_expenses*COUNT(Data!J:J)</f>
        <v>740</v>
      </c>
      <c r="L10" s="9">
        <f>Claim_expenses*COUNT(Data!K:K)</f>
        <v>770</v>
      </c>
      <c r="M10" s="9">
        <f>Claim_expenses*COUNT(Data!L:L)</f>
        <v>660</v>
      </c>
    </row>
    <row r="12" spans="1:14" x14ac:dyDescent="0.25">
      <c r="A12" t="s">
        <v>48</v>
      </c>
      <c r="B12" s="17">
        <f t="shared" ref="B12:M12" si="3">B3-SUM(B5:B10)</f>
        <v>-7814.3333333333321</v>
      </c>
      <c r="C12" s="17">
        <f t="shared" si="3"/>
        <v>2835.6666666666679</v>
      </c>
      <c r="D12" s="17">
        <f t="shared" si="3"/>
        <v>2967.6666666666679</v>
      </c>
      <c r="E12" s="17">
        <f t="shared" si="3"/>
        <v>1738.6666666666679</v>
      </c>
      <c r="F12" s="17">
        <f t="shared" si="3"/>
        <v>310.66666666666788</v>
      </c>
      <c r="G12" s="17">
        <f t="shared" si="3"/>
        <v>2159.6666666666679</v>
      </c>
      <c r="H12" s="17">
        <f t="shared" si="3"/>
        <v>2708.6666666666679</v>
      </c>
      <c r="I12" s="17">
        <f t="shared" si="3"/>
        <v>1715.6666666666679</v>
      </c>
      <c r="J12" s="17">
        <f t="shared" si="3"/>
        <v>2784.6666666666679</v>
      </c>
      <c r="K12" s="17">
        <f t="shared" si="3"/>
        <v>630.66666666666788</v>
      </c>
      <c r="L12" s="17">
        <f t="shared" si="3"/>
        <v>422.66666666666788</v>
      </c>
      <c r="M12" s="17">
        <f t="shared" si="3"/>
        <v>1062.6666666666679</v>
      </c>
    </row>
    <row r="13" spans="1:14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4" x14ac:dyDescent="0.25">
      <c r="A14" t="s">
        <v>79</v>
      </c>
      <c r="B14" s="19">
        <f>(B3-B5)*(1+Interest_rate)^(1/12)-B7*(1+Interest_rate)^(1/24)-(B9+B10)</f>
        <v>-7791.01604751784</v>
      </c>
      <c r="C14" s="17">
        <f t="shared" ref="C14:M14" si="4">(B14+C3-C5)*(1+Interest_rate)^(1/12)-C7*(1+Interest_rate)^(1/24)-(C9+C10)</f>
        <v>-4914.4173467933933</v>
      </c>
      <c r="D14" s="17">
        <f t="shared" si="4"/>
        <v>-1882.8802440717673</v>
      </c>
      <c r="E14" s="17">
        <f t="shared" si="4"/>
        <v>-56.169238777606552</v>
      </c>
      <c r="F14" s="17">
        <f t="shared" si="4"/>
        <v>357.10821659579597</v>
      </c>
      <c r="G14" s="17">
        <f t="shared" si="4"/>
        <v>2622.6812044344442</v>
      </c>
      <c r="H14" s="17">
        <f t="shared" si="4"/>
        <v>5455.320189430051</v>
      </c>
      <c r="I14" s="17">
        <f t="shared" si="4"/>
        <v>7317.5470354763966</v>
      </c>
      <c r="J14" s="17">
        <f t="shared" si="4"/>
        <v>10263.62353990359</v>
      </c>
      <c r="K14" s="17">
        <f t="shared" si="4"/>
        <v>11079.192472091381</v>
      </c>
      <c r="L14" s="17">
        <f t="shared" si="4"/>
        <v>11693.264865473888</v>
      </c>
      <c r="M14" s="17">
        <f t="shared" si="4"/>
        <v>12952.23395835474</v>
      </c>
    </row>
    <row r="17" spans="2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5">
      <c r="B18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"/>
  <sheetViews>
    <sheetView workbookViewId="0"/>
  </sheetViews>
  <sheetFormatPr defaultRowHeight="15" x14ac:dyDescent="0.25"/>
  <cols>
    <col min="1" max="1" width="40.140625" customWidth="1"/>
    <col min="2" max="5" width="11.42578125" customWidth="1"/>
    <col min="6" max="6" width="12.28515625" customWidth="1"/>
    <col min="7" max="13" width="11.42578125" customWidth="1"/>
  </cols>
  <sheetData>
    <row r="1" spans="1:14" x14ac:dyDescent="0.25">
      <c r="A1" s="3" t="s">
        <v>54</v>
      </c>
      <c r="D1" t="s">
        <v>62</v>
      </c>
      <c r="G1" s="10">
        <f>1/Lambda</f>
        <v>100</v>
      </c>
    </row>
    <row r="2" spans="1:14" x14ac:dyDescent="0.25">
      <c r="A2" s="3"/>
      <c r="D2" t="s">
        <v>63</v>
      </c>
      <c r="G2" s="10">
        <f>(1/Lambda+Excess_policy)</f>
        <v>150</v>
      </c>
    </row>
    <row r="3" spans="1:14" x14ac:dyDescent="0.25">
      <c r="A3" s="3"/>
      <c r="D3" t="s">
        <v>56</v>
      </c>
      <c r="G3" s="10">
        <f>G2-Excess_policy</f>
        <v>100</v>
      </c>
    </row>
    <row r="4" spans="1:14" x14ac:dyDescent="0.25">
      <c r="D4" t="s">
        <v>55</v>
      </c>
      <c r="G4" s="10">
        <f>COUNT(Data!A:L)</f>
        <v>835</v>
      </c>
      <c r="I4" t="s">
        <v>64</v>
      </c>
      <c r="K4" s="13" t="s">
        <v>65</v>
      </c>
    </row>
    <row r="5" spans="1:14" x14ac:dyDescent="0.25">
      <c r="D5" t="s">
        <v>80</v>
      </c>
      <c r="G5" s="10">
        <f>(G3+Claim_expenses)*G4</f>
        <v>91850</v>
      </c>
      <c r="I5" s="20">
        <f>SUM(B18:M18)+SUM(B19:M19)</f>
        <v>88477</v>
      </c>
      <c r="K5" s="13" t="str">
        <f>IF(ABS(G5-I5)/G5&lt;Tolerance,"OK","CHECK DISTRIBUTION")</f>
        <v>OK</v>
      </c>
    </row>
    <row r="6" spans="1:14" x14ac:dyDescent="0.25">
      <c r="G6" s="10"/>
    </row>
    <row r="7" spans="1:14" x14ac:dyDescent="0.25">
      <c r="D7" t="s">
        <v>59</v>
      </c>
      <c r="G7" s="10">
        <f>G5*Reserve_perc</f>
        <v>101035.00000000001</v>
      </c>
    </row>
    <row r="9" spans="1:14" s="3" customFormat="1" x14ac:dyDescent="0.25">
      <c r="A9" s="3" t="s">
        <v>37</v>
      </c>
      <c r="B9" s="14" t="s">
        <v>0</v>
      </c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  <c r="H9" s="14" t="s">
        <v>6</v>
      </c>
      <c r="I9" s="14" t="s">
        <v>7</v>
      </c>
      <c r="J9" s="14" t="s">
        <v>8</v>
      </c>
      <c r="K9" s="14" t="s">
        <v>9</v>
      </c>
      <c r="L9" s="14" t="s">
        <v>10</v>
      </c>
      <c r="M9" s="14" t="s">
        <v>11</v>
      </c>
      <c r="N9" s="14"/>
    </row>
    <row r="11" spans="1:14" x14ac:dyDescent="0.25">
      <c r="A11" t="s">
        <v>38</v>
      </c>
      <c r="B11" s="9">
        <f t="shared" ref="B11:M11" si="0">No_policies_written*Cost_policy/Payment_Freq</f>
        <v>16666.666666666668</v>
      </c>
      <c r="C11" s="9">
        <f t="shared" si="0"/>
        <v>16666.666666666668</v>
      </c>
      <c r="D11" s="9">
        <f t="shared" si="0"/>
        <v>16666.666666666668</v>
      </c>
      <c r="E11" s="9">
        <f t="shared" si="0"/>
        <v>16666.666666666668</v>
      </c>
      <c r="F11" s="9">
        <f t="shared" si="0"/>
        <v>16666.666666666668</v>
      </c>
      <c r="G11" s="9">
        <f t="shared" si="0"/>
        <v>16666.666666666668</v>
      </c>
      <c r="H11" s="9">
        <f t="shared" si="0"/>
        <v>16666.666666666668</v>
      </c>
      <c r="I11" s="9">
        <f t="shared" si="0"/>
        <v>16666.666666666668</v>
      </c>
      <c r="J11" s="9">
        <f t="shared" si="0"/>
        <v>16666.666666666668</v>
      </c>
      <c r="K11" s="9">
        <f t="shared" si="0"/>
        <v>16666.666666666668</v>
      </c>
      <c r="L11" s="9">
        <f t="shared" si="0"/>
        <v>16666.666666666668</v>
      </c>
      <c r="M11" s="9">
        <f t="shared" si="0"/>
        <v>16666.666666666668</v>
      </c>
    </row>
    <row r="13" spans="1:14" x14ac:dyDescent="0.25">
      <c r="A13" t="s">
        <v>68</v>
      </c>
      <c r="B13" s="18">
        <f>G7</f>
        <v>101035.00000000001</v>
      </c>
    </row>
    <row r="14" spans="1:14" x14ac:dyDescent="0.25">
      <c r="A14" t="s">
        <v>43</v>
      </c>
      <c r="B14" s="9">
        <f t="shared" ref="B14:M14" si="1">IF(B9="January",No_policies_written*Init_expenses,0)</f>
        <v>10000</v>
      </c>
      <c r="C14" s="9">
        <f t="shared" si="1"/>
        <v>0</v>
      </c>
      <c r="D14" s="9">
        <f t="shared" si="1"/>
        <v>0</v>
      </c>
      <c r="E14" s="9">
        <f t="shared" si="1"/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6" spans="1:14" x14ac:dyDescent="0.25">
      <c r="A16" t="s">
        <v>42</v>
      </c>
      <c r="B16" s="9">
        <f t="shared" ref="B16:M16" si="2">No_policies_written*Mon_expenses</f>
        <v>7500</v>
      </c>
      <c r="C16" s="9">
        <f t="shared" si="2"/>
        <v>7500</v>
      </c>
      <c r="D16" s="9">
        <f t="shared" si="2"/>
        <v>7500</v>
      </c>
      <c r="E16" s="9">
        <f t="shared" si="2"/>
        <v>7500</v>
      </c>
      <c r="F16" s="9">
        <f t="shared" si="2"/>
        <v>7500</v>
      </c>
      <c r="G16" s="9">
        <f t="shared" si="2"/>
        <v>7500</v>
      </c>
      <c r="H16" s="9">
        <f t="shared" si="2"/>
        <v>7500</v>
      </c>
      <c r="I16" s="9">
        <f t="shared" si="2"/>
        <v>7500</v>
      </c>
      <c r="J16" s="9">
        <f t="shared" si="2"/>
        <v>7500</v>
      </c>
      <c r="K16" s="9">
        <f t="shared" si="2"/>
        <v>7500</v>
      </c>
      <c r="L16" s="9">
        <f t="shared" si="2"/>
        <v>7500</v>
      </c>
      <c r="M16" s="9">
        <f t="shared" si="2"/>
        <v>7500</v>
      </c>
    </row>
    <row r="17" spans="1:13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t="s">
        <v>41</v>
      </c>
      <c r="B18" s="9">
        <f>SUM(Data!A:A)-COUNT(Data!A:A)*Excess_policy</f>
        <v>6281</v>
      </c>
      <c r="C18" s="9">
        <f>SUM(Data!B:B)-COUNT(Data!B:B)*Excess_policy</f>
        <v>5721</v>
      </c>
      <c r="D18" s="9">
        <f>SUM(Data!C:C)-COUNT(Data!C:C)*Excess_policy</f>
        <v>5539</v>
      </c>
      <c r="E18" s="9">
        <f>SUM(Data!D:D)-COUNT(Data!D:D)*Excess_policy</f>
        <v>6698</v>
      </c>
      <c r="F18" s="9">
        <f>SUM(Data!E:E)-COUNT(Data!E:E)*Excess_policy</f>
        <v>8036</v>
      </c>
      <c r="G18" s="9">
        <f>SUM(Data!F:F)-COUNT(Data!F:F)*Excess_policy</f>
        <v>6317</v>
      </c>
      <c r="H18" s="9">
        <f>SUM(Data!G:G)-COUNT(Data!G:G)*Excess_policy</f>
        <v>5818</v>
      </c>
      <c r="I18" s="9">
        <f>SUM(Data!H:H)-COUNT(Data!H:H)*Excess_policy</f>
        <v>6751</v>
      </c>
      <c r="J18" s="9">
        <f>SUM(Data!I:I)-COUNT(Data!I:I)*Excess_policy</f>
        <v>5752</v>
      </c>
      <c r="K18" s="9">
        <f>SUM(Data!J:J)-COUNT(Data!J:J)*Excess_policy</f>
        <v>7796</v>
      </c>
      <c r="L18" s="9">
        <f>SUM(Data!K:K)-COUNT(Data!K:K)*Excess_policy</f>
        <v>7974</v>
      </c>
      <c r="M18" s="9">
        <f>SUM(Data!L:L)-COUNT(Data!L:L)*Excess_policy</f>
        <v>7444</v>
      </c>
    </row>
    <row r="19" spans="1:13" x14ac:dyDescent="0.25">
      <c r="A19" t="s">
        <v>44</v>
      </c>
      <c r="B19" s="9">
        <f>Claim_expenses*COUNT(Data!A:A)</f>
        <v>700</v>
      </c>
      <c r="C19" s="9">
        <f>Claim_expenses*COUNT(Data!B:B)</f>
        <v>610</v>
      </c>
      <c r="D19" s="9">
        <f>Claim_expenses*COUNT(Data!C:C)</f>
        <v>660</v>
      </c>
      <c r="E19" s="9">
        <f>Claim_expenses*COUNT(Data!D:D)</f>
        <v>730</v>
      </c>
      <c r="F19" s="9">
        <f>Claim_expenses*COUNT(Data!E:E)</f>
        <v>820</v>
      </c>
      <c r="G19" s="9">
        <f>Claim_expenses*COUNT(Data!F:F)</f>
        <v>690</v>
      </c>
      <c r="H19" s="9">
        <f>Claim_expenses*COUNT(Data!G:G)</f>
        <v>640</v>
      </c>
      <c r="I19" s="9">
        <f>Claim_expenses*COUNT(Data!H:H)</f>
        <v>700</v>
      </c>
      <c r="J19" s="9">
        <f>Claim_expenses*COUNT(Data!I:I)</f>
        <v>630</v>
      </c>
      <c r="K19" s="9">
        <f>Claim_expenses*COUNT(Data!J:J)</f>
        <v>740</v>
      </c>
      <c r="L19" s="9">
        <f>Claim_expenses*COUNT(Data!K:K)</f>
        <v>770</v>
      </c>
      <c r="M19" s="9">
        <f>Claim_expenses*COUNT(Data!L:L)</f>
        <v>660</v>
      </c>
    </row>
    <row r="21" spans="1:13" x14ac:dyDescent="0.25">
      <c r="A21" t="s">
        <v>69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>
        <f>B13</f>
        <v>101035.00000000001</v>
      </c>
    </row>
    <row r="22" spans="1:13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5">
      <c r="A23" t="s">
        <v>48</v>
      </c>
      <c r="B23" s="17">
        <f>B11-SUM(B13:B19)+B21</f>
        <v>-108849.33333333334</v>
      </c>
      <c r="C23" s="17">
        <f t="shared" ref="C23:M23" si="3">C11-SUM(C13:C19)+C21</f>
        <v>2835.6666666666679</v>
      </c>
      <c r="D23" s="17">
        <f t="shared" si="3"/>
        <v>2967.6666666666679</v>
      </c>
      <c r="E23" s="17">
        <f t="shared" si="3"/>
        <v>1738.6666666666679</v>
      </c>
      <c r="F23" s="17">
        <f t="shared" si="3"/>
        <v>310.66666666666788</v>
      </c>
      <c r="G23" s="17">
        <f t="shared" si="3"/>
        <v>2159.6666666666679</v>
      </c>
      <c r="H23" s="17">
        <f t="shared" si="3"/>
        <v>2708.6666666666679</v>
      </c>
      <c r="I23" s="17">
        <f t="shared" si="3"/>
        <v>1715.6666666666679</v>
      </c>
      <c r="J23" s="17">
        <f t="shared" si="3"/>
        <v>2784.6666666666679</v>
      </c>
      <c r="K23" s="17">
        <f t="shared" si="3"/>
        <v>630.66666666666788</v>
      </c>
      <c r="L23" s="17">
        <f t="shared" si="3"/>
        <v>422.66666666666788</v>
      </c>
      <c r="M23" s="17">
        <f t="shared" si="3"/>
        <v>102097.66666666669</v>
      </c>
    </row>
    <row r="24" spans="1:13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5">
      <c r="A25" t="s">
        <v>61</v>
      </c>
      <c r="B25" s="19">
        <f>(B11-B13-B14)*(1+Interest_rate)^(1/12)-B16*(1+Interest_rate)^(1/24)-(B18+B19)+B21</f>
        <v>-109631.68332575214</v>
      </c>
      <c r="C25" s="17">
        <f t="shared" ref="C25:M25" si="4">(B25+C11-C13-C14)*(1+Interest_rate)^(1/12)-C16*(1+Interest_rate)^(1/24)-(C18+C19)+C21</f>
        <v>-107567.17640727758</v>
      </c>
      <c r="D25" s="17">
        <f t="shared" si="4"/>
        <v>-105354.20682071867</v>
      </c>
      <c r="E25" s="17">
        <f t="shared" si="4"/>
        <v>-104352.59070391164</v>
      </c>
      <c r="F25" s="17">
        <f t="shared" si="4"/>
        <v>-104770.98755953334</v>
      </c>
      <c r="G25" s="17">
        <f t="shared" si="4"/>
        <v>-103343.72077043679</v>
      </c>
      <c r="H25" s="17">
        <f t="shared" si="4"/>
        <v>-101356.07275553446</v>
      </c>
      <c r="I25" s="17">
        <f t="shared" si="4"/>
        <v>-100345.57495623808</v>
      </c>
      <c r="J25" s="17">
        <f t="shared" si="4"/>
        <v>-98258.019305587004</v>
      </c>
      <c r="K25" s="17">
        <f t="shared" si="4"/>
        <v>-98307.817193024486</v>
      </c>
      <c r="L25" s="17">
        <f t="shared" si="4"/>
        <v>-98566.012175809461</v>
      </c>
      <c r="M25" s="17">
        <f t="shared" si="4"/>
        <v>2848.7339583548164</v>
      </c>
    </row>
    <row r="28" spans="1:13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2" ma:contentTypeDescription="Create a new document." ma:contentTypeScope="" ma:versionID="27c14dac76adf4dbf34c58f1b348cfe6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cc9f69d2129291b816aaac278eb8c153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9FE54F-174D-4047-BD0A-4306ABD71DBD}">
  <ds:schemaRefs>
    <ds:schemaRef ds:uri="http://purl.org/dc/terms/"/>
    <ds:schemaRef ds:uri="051538e9-c694-450b-9056-83c8e7b681d1"/>
    <ds:schemaRef ds:uri="http://schemas.microsoft.com/office/2006/documentManagement/types"/>
    <ds:schemaRef ds:uri="80348ba6-adcc-40fb-8576-6b95a36a3021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616FF2-D2D7-4B5C-97BA-E8754BEEC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E6E910-B966-4E74-AF47-1E0164297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Data</vt:lpstr>
      <vt:lpstr>Parameters</vt:lpstr>
      <vt:lpstr>Cashflows</vt:lpstr>
      <vt:lpstr>Cashflows with reserve</vt:lpstr>
      <vt:lpstr>Claim_expenses</vt:lpstr>
      <vt:lpstr>Claims_data</vt:lpstr>
      <vt:lpstr>Cost_policy</vt:lpstr>
      <vt:lpstr>Excess_policy</vt:lpstr>
      <vt:lpstr>Init_expenses</vt:lpstr>
      <vt:lpstr>Interest_rate</vt:lpstr>
      <vt:lpstr>Lambda</vt:lpstr>
      <vt:lpstr>Mon_expenses</vt:lpstr>
      <vt:lpstr>No_policies_written</vt:lpstr>
      <vt:lpstr>Payment_Freq</vt:lpstr>
      <vt:lpstr>Reserve_perc</vt:lpstr>
      <vt:lpstr>Tolerance</vt:lpstr>
    </vt:vector>
  </TitlesOfParts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mshimmons</dc:creator>
  <cp:lastModifiedBy>Sarah Byrne</cp:lastModifiedBy>
  <dcterms:created xsi:type="dcterms:W3CDTF">2019-06-06T15:41:24Z</dcterms:created>
  <dcterms:modified xsi:type="dcterms:W3CDTF">2020-12-03T11:38:55Z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